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5.xml" ContentType="application/vnd.openxmlformats-officedocument.drawing+xml"/>
  <Override PartName="/xl/tables/table10.xml" ContentType="application/vnd.openxmlformats-officedocument.spreadsheetml.table+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7.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8.xml" ContentType="application/vnd.openxmlformats-officedocument.drawing+xml"/>
  <Override PartName="/xl/tables/table22.xml" ContentType="application/vnd.openxmlformats-officedocument.spreadsheetml.table+xml"/>
  <Override PartName="/xl/drawings/drawing9.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drawings/drawing12.xml" ContentType="application/vnd.openxmlformats-officedocument.drawing+xml"/>
  <Override PartName="/xl/tables/table37.xml" ContentType="application/vnd.openxmlformats-officedocument.spreadsheetml.table+xml"/>
  <Override PartName="/xl/drawings/drawing13.xml" ContentType="application/vnd.openxmlformats-officedocument.drawing+xml"/>
  <Override PartName="/xl/tables/table38.xml" ContentType="application/vnd.openxmlformats-officedocument.spreadsheetml.table+xml"/>
  <Override PartName="/xl/drawings/drawing14.xml" ContentType="application/vnd.openxmlformats-officedocument.drawing+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drawings/drawing15.xml" ContentType="application/vnd.openxmlformats-officedocument.drawing+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drawings/drawing16.xml" ContentType="application/vnd.openxmlformats-officedocument.drawing+xml"/>
  <Override PartName="/xl/tables/table4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calibremining-my.sharepoint.com/personal/lhabed_calibremining_com/Documents/04. REPORTS/GRI/GRI_2021/Traducción/Final/"/>
    </mc:Choice>
  </mc:AlternateContent>
  <xr:revisionPtr revIDLastSave="19" documentId="8_{42B992F2-2AB2-408B-8C60-E8A86255ED90}" xr6:coauthVersionLast="47" xr6:coauthVersionMax="47" xr10:uidLastSave="{8AD71E00-0353-4A91-8C2A-C9AA9780B90E}"/>
  <bookViews>
    <workbookView xWindow="20370" yWindow="-120" windowWidth="29040" windowHeight="15840" tabRatio="940" xr2:uid="{C06AC36A-B3DE-4EFA-84E7-7F63EAAC3A2A}"/>
  </bookViews>
  <sheets>
    <sheet name="Wiki" sheetId="1" r:id="rId1"/>
    <sheet name="Visión general" sheetId="16" r:id="rId2"/>
    <sheet name="MAPE" sheetId="3" r:id="rId3"/>
    <sheet name="Biodiversidad" sheetId="4" r:id="rId4"/>
    <sheet name="Cambio climático" sheetId="5" r:id="rId5"/>
    <sheet name="Comunidades y PI" sheetId="11" r:id="rId6"/>
    <sheet name="Gob. Corp y Ética Emp." sheetId="6" r:id="rId7"/>
    <sheet name="Gestión ambiental" sheetId="7" r:id="rId8"/>
    <sheet name="Salud y Seguridad" sheetId="2" r:id="rId9"/>
    <sheet name="Derechos laborales" sheetId="8" r:id="rId10"/>
    <sheet name="Reasentamiento" sheetId="9" r:id="rId11"/>
    <sheet name="Adquisiciones resp." sheetId="10" r:id="rId12"/>
    <sheet name="Prácticas de seguridad" sheetId="12" r:id="rId13"/>
    <sheet name="Contribuciones socio-econ." sheetId="13" r:id="rId14"/>
    <sheet name="Residuos y materiales" sheetId="14" r:id="rId15"/>
    <sheet name="Agua y efluentes" sheetId="15" r:id="rId16"/>
  </sheets>
  <definedNames>
    <definedName name="_1._2021_Sustainability_scorecard">'Visión general'!$A$1</definedName>
    <definedName name="_10._Communications_and_training_on_anti_corruption_policies_and_procedures">'Gob. Corp y Ética Emp.'!$A$35</definedName>
    <definedName name="_11._Confirmed_incidents_of_corruption_and_actions_taken">'Gob. Corp y Ética Emp.'!$A$47</definedName>
    <definedName name="_12._New_suppliers_that_were_screened_using_environmental___social_criteria">'Adquisiciones resp.'!$A$1</definedName>
    <definedName name="_13._Security_personnel_trained_in_human_rights_policies_or_procedures">'Prácticas de seguridad'!$A$1</definedName>
    <definedName name="_14._Description_of_environmental_management_policies_and_practices__EMPs__for_active_sites">'Gestión ambiental'!$A$1</definedName>
    <definedName name="_15._Potential_risks_to_water_sources">'Agua y efluentes'!$A$1</definedName>
    <definedName name="_16._Water_withdrawal_by_source__ML">'Agua y efluentes'!$A$10</definedName>
    <definedName name="_17._Water_discharge__ML">'Agua y efluentes'!$A$38</definedName>
    <definedName name="_18._Water_consumption__ML">'Agua y efluentes'!$A$61</definedName>
    <definedName name="_19._Cyanide_Intensity">'Residuos y materiales'!$A$1</definedName>
    <definedName name="_2._Entities_included_in_the_organization_s_sustainability_reporting">'Visión general'!$A$28</definedName>
    <definedName name="_20._Total_amounts_of_overburden__rock__tailings__and_sludges_and_their_associated_risks">'Residuos y materiales'!$A$9</definedName>
    <definedName name="_21._Waste_generated">'Residuos y materiales'!$A$28</definedName>
    <definedName name="_22._Waste_diverted_from_disposal">'Residuos y materiales'!$A$38</definedName>
    <definedName name="_23._Waste_directed_to_disposal">'Residuos y materiales'!$A$54</definedName>
    <definedName name="_24._Total_weight_of_non_mineral_waste_generated__in_metric_tons__T">'Residuos y materiales'!$A$72</definedName>
    <definedName name="_25._Tailings_storage_facility_inventory_table">'Residuos y materiales'!$A$80</definedName>
    <definedName name="_26._Number_of_tailings_impoundments__broken_down_by_MSHA_hazard_potential">'Residuos y materiales'!$A$89</definedName>
    <definedName name="_27._Significant_impacts_of_activities__products_and_services_on_biodiversity">Biodiversidad!$A$1</definedName>
    <definedName name="_28._Habitats_protected_or_restored">Biodiversidad!$A$11</definedName>
    <definedName name="_29._Amount_of_land_owned_or_leased__and_managed_for_production_activities_or_extractive_use__disturbed_or_rehabilitated">Biodiversidad!$A$19</definedName>
    <definedName name="_3._2021_Data">'Visión general'!$A$49</definedName>
    <definedName name="_30._Number_and_percentage_of_total_sites_identified_as_requiring_biodiversity_management_plans_according_to_stated_criteria__and_number__and_percentage__of_those_sites_with_plans_in_place">Biodiversidad!$A$30</definedName>
    <definedName name="_31._Number_and_percentage_of_operations_with_closure_plans">Biodiversidad!$A$39</definedName>
    <definedName name="_32._Energy_consumption_within_the_organization">'Cambio climático'!$A$1</definedName>
    <definedName name="_33._Energy_intensity">'Cambio climático'!$A$28</definedName>
    <definedName name="_34._GHG_emissions_intensity__Scopes_1_2____metric_tons_Coe_per_tonne_of_ore_processed">'Cambio climático'!$A$36</definedName>
    <definedName name="_35._Employees">'Derechos laborales'!$A$1</definedName>
    <definedName name="_36._Workers_who_are_not_employees__Contractors_workforce">'Derechos laborales'!$A$37</definedName>
    <definedName name="_37._New_employee_hires_and_employee_turnover">'Derechos laborales'!$A$45</definedName>
    <definedName name="_38._Average_hours_of_training_per_year_per_employee_by_gender">'Derechos laborales'!$A$104</definedName>
    <definedName name="_39._Percentage_of_employees_per_employee_category_in_diversity_categories">'Derechos laborales'!$A$113</definedName>
    <definedName name="_4._Memberships_and_associations">'Visión general'!$A$63</definedName>
    <definedName name="_40._Ratio_of_basic_salary_and_remuneration_of_women_to_men">'Derechos laborales'!$A$134</definedName>
    <definedName name="_41._Collective_bargaining_agreements">'Derechos laborales'!$A$146</definedName>
    <definedName name="_42._Worker_training_on_occupational_health_and_safety">'Salud y Seguridad'!$A$1</definedName>
    <definedName name="_43._Workers_covered_by_an_occupational_health_and_safety_management_system">'Salud y Seguridad'!$A$10</definedName>
    <definedName name="_44._Employee_data_on_work_related_injuries">'Salud y Seguridad'!$A$26</definedName>
    <definedName name="_45._Contractor_data_on_work_related_injuries">'Salud y Seguridad'!$A$40</definedName>
    <definedName name="_46._Recordable_work_related_injury_by_type_of_incident">'Salud y Seguridad'!$A$53</definedName>
    <definedName name="_47._Other_relevant_data">'Salud y Seguridad'!$A$64</definedName>
    <definedName name="_48._Employee_data_on_work_related_ill_health">'Salud y Seguridad'!$A$76</definedName>
    <definedName name="_49._Contractor_data_on_work_related_ill_health">'Salud y Seguridad'!$A$88</definedName>
    <definedName name="_5._Approach_to_stakeholder_engagement">'Visión general'!$A$80</definedName>
    <definedName name="_50._Death_rate_due_to_road_traffic_injuries">'Salud y Seguridad'!$A$100</definedName>
    <definedName name="_51._Public_consultations_held">'Comunidades y PI'!$A$1</definedName>
    <definedName name="_52._Operations_with_local_community_engagement__impact_assessments__and_development_programs">'Comunidades y PI'!$A$9</definedName>
    <definedName name="_53._Operations_with_significant_actual_and_potential_negative_impacts_on_local_communities">'Comunidades y PI'!$A$19</definedName>
    <definedName name="_54._Total_number_of_operations_taking_place_in_or_adjacent_to_Indigenous_Peoples__territories__and_number_and_percentage_of_operations_or_sites_where_there_are_formal_agreements_with_Indigenous_Peoples__communities">'Comunidades y PI'!$A$27</definedName>
    <definedName name="_55._Number_and_description_of_significant_disputes_1__relating_to_land_use__customary_rights_of_local_communities_and_Indigenous_Peoples">'Comunidades y PI'!$A$39</definedName>
    <definedName name="_56._Extent_to_which_grievance_mechanisms_were_used_to_resolve_disputes_relating_to_land_use__customary_rights_of_local_communities_and_Indigenous_Peoples__and_the_outcomes">'Comunidades y PI'!$A$48</definedName>
    <definedName name="_57._Proportion_of_population_who_have_experienced_a_dispute_in_the_past_two_years_and_who_accessed_a_formal_or_informal_dispute_resolution_mechanism__by_type_of_mechanism">'Comunidades y PI'!$A$56</definedName>
    <definedName name="_58._Sites_where_resettlement_took_place__the_number_of_household_resettled_in_each__and_how_their_livelihoods_were_affected_in_the_process">Reasentamiento!$A$1</definedName>
    <definedName name="_59._Proportion_of_population_living_in_households_with_access_to_basic_services">Reasentamiento!$A$15</definedName>
    <definedName name="_6._List_of_material_topics">'Visión general'!$A$97</definedName>
    <definedName name="_60._Proportion_of_total_adult_population_with_secure_tenure_rights_to_land__with_legally_recognized_documentation_and_who_perceive_their_rights_to_land_as_secure__by_sex_and_by_type_of_tenure">Reasentamiento!$A$26</definedName>
    <definedName name="_61._Proportion_of_urban_population_living_in_slums__informal_settlements_or_inadequate_housing">Reasentamiento!$A$37</definedName>
    <definedName name="_62._Proportion_of_urban_population_using_safely_managed_drinking_water_services">Reasentamiento!$A$48</definedName>
    <definedName name="_63._Proportion_of_population_using_safely_managed_sanitation_services">Reasentamiento!$A$59</definedName>
    <definedName name="_64._Proportion_of_population_who_believe_decision_making_is_inclusive_and_responsive">Reasentamiento!$A$70</definedName>
    <definedName name="_65._Number__and_percentage__of_company_operating_sites_where_ASM_takes_place_on__or_adjacent_to__the_site__the_associated_risks_and_the_actions_taken_to_manage_and_mitigate_these_risks">MAPE!$A$1</definedName>
    <definedName name="_66._Proportion_of_bodies_of_water_with_good_ambient_water_quality">MAPE!$A$11</definedName>
    <definedName name="_67._Direct_economic_value_generated_and_distributed___Million_USD">'Contribuciones socio-econ.'!$A$1</definedName>
    <definedName name="_68._Ratios_of_standard_entry_level_wage_by_gender_compared_to_local_minimum_wage">'Contribuciones socio-econ.'!$A$11</definedName>
    <definedName name="_69._Infrastructure_investments_and_services_supported">'Contribuciones socio-econ.'!$A$28</definedName>
    <definedName name="_7._Governance_structure_and_composition__diversity_of_governance_bodies">'Gob. Corp y Ética Emp.'!$A$1</definedName>
    <definedName name="_71._Proportion_of_spending_on_local_suppliers">'Contribuciones socio-econ.'!$A$56</definedName>
    <definedName name="_8._Mechanisms_for_seeking_advise_and_raising_concerns">'Gob. Corp y Ética Emp.'!$A$17</definedName>
    <definedName name="_9._Operations_assessed_for_risk_related_to_corruption">'Gob. Corp y Ética Emp.'!$A$27</definedName>
    <definedName name="Table_70._Significant_indirect_economic_impacts">'Contribuciones socio-econ.'!$A$45</definedName>
    <definedName name="Table_71._Proportion_of_spending_on_local_suppliers">'Contribuciones socio-econ.'!$A$56</definedName>
  </definedNames>
  <calcPr calcId="191029"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D108" i="8" l="1"/>
  <c r="E92" i="8" l="1"/>
  <c r="E93" i="8"/>
  <c r="E91" i="8"/>
  <c r="C92" i="8"/>
  <c r="F92" i="8" s="1"/>
  <c r="C93" i="8"/>
  <c r="F93" i="8" s="1"/>
  <c r="C91" i="8"/>
  <c r="F91" i="8" s="1"/>
  <c r="C7" i="14" l="1"/>
  <c r="D109" i="8"/>
  <c r="C110" i="8"/>
  <c r="B110" i="8"/>
  <c r="D110" i="8" l="1"/>
  <c r="C17" i="2"/>
  <c r="C19" i="2" s="1"/>
  <c r="D17" i="2"/>
  <c r="D19" i="2" s="1"/>
  <c r="E17" i="2"/>
  <c r="E19" i="2" s="1"/>
  <c r="F17" i="2"/>
  <c r="G17" i="2"/>
  <c r="G19" i="2" s="1"/>
  <c r="B17" i="2"/>
  <c r="G14" i="2"/>
  <c r="G16" i="2" s="1"/>
  <c r="F14" i="2"/>
  <c r="F16" i="2" s="1"/>
  <c r="C14" i="2"/>
  <c r="C16" i="2" s="1"/>
  <c r="D14" i="2"/>
  <c r="D16" i="2" s="1"/>
  <c r="E14" i="2"/>
  <c r="E20" i="2" s="1"/>
  <c r="E22" i="2" s="1"/>
  <c r="B14" i="2"/>
  <c r="B16" i="2" s="1"/>
  <c r="E20" i="3"/>
  <c r="B20" i="2" l="1"/>
  <c r="B22" i="2" s="1"/>
  <c r="F20" i="2"/>
  <c r="F22" i="2" s="1"/>
  <c r="D20" i="2"/>
  <c r="D22" i="2" s="1"/>
  <c r="B19" i="2"/>
  <c r="C20" i="2"/>
  <c r="C22" i="2" s="1"/>
  <c r="E16" i="2"/>
  <c r="G20" i="2"/>
  <c r="G22" i="2" s="1"/>
  <c r="D48" i="14" l="1"/>
  <c r="D49" i="14"/>
  <c r="D47" i="14"/>
  <c r="D62" i="14"/>
  <c r="D46" i="14" l="1"/>
  <c r="C33" i="14" s="1"/>
  <c r="B7" i="14"/>
  <c r="H29" i="15"/>
  <c r="H20" i="15"/>
  <c r="C34" i="15"/>
  <c r="B34" i="15"/>
  <c r="H44" i="15"/>
  <c r="G50" i="15"/>
  <c r="G53" i="15" s="1"/>
  <c r="G58" i="15" s="1"/>
  <c r="F50" i="15"/>
  <c r="D44" i="14" l="1"/>
  <c r="D42" i="14" s="1"/>
  <c r="D50" i="14" s="1"/>
  <c r="C32" i="14" l="1"/>
  <c r="D66" i="15"/>
  <c r="B27" i="8" l="1"/>
  <c r="C27" i="8"/>
  <c r="D27" i="8"/>
  <c r="E27" i="8"/>
  <c r="A27" i="8"/>
  <c r="B11" i="8"/>
  <c r="C11" i="8"/>
  <c r="E11" i="8"/>
  <c r="G11" i="8"/>
  <c r="A11" i="8"/>
  <c r="C78" i="9" l="1"/>
  <c r="C43" i="6" l="1"/>
  <c r="E24" i="4"/>
  <c r="E23" i="4"/>
  <c r="D23" i="4"/>
  <c r="C24" i="4"/>
  <c r="C23" i="4"/>
  <c r="B24" i="4"/>
  <c r="B23" i="4"/>
  <c r="B21" i="13"/>
  <c r="B20" i="13"/>
  <c r="D20" i="3" l="1"/>
  <c r="G20" i="3"/>
  <c r="B20" i="3"/>
  <c r="B73" i="2"/>
  <c r="C49" i="2"/>
  <c r="D49" i="2"/>
  <c r="E49" i="2"/>
  <c r="F49" i="2"/>
  <c r="G49" i="2"/>
  <c r="B49" i="2"/>
  <c r="I49" i="2"/>
  <c r="C37" i="2"/>
  <c r="D37" i="2"/>
  <c r="E37" i="2"/>
  <c r="F37" i="2"/>
  <c r="G37" i="2"/>
  <c r="B37" i="2"/>
  <c r="I37" i="2"/>
  <c r="E68" i="8"/>
  <c r="E69" i="8"/>
  <c r="E67" i="8"/>
  <c r="E64" i="8"/>
  <c r="E63" i="8"/>
  <c r="E59" i="8"/>
  <c r="E60" i="8"/>
  <c r="E58" i="8"/>
  <c r="E52" i="8"/>
  <c r="E53" i="8"/>
  <c r="E54" i="8"/>
  <c r="E55" i="8"/>
  <c r="E51" i="8"/>
  <c r="D70" i="8"/>
  <c r="E70" i="8" s="1"/>
  <c r="D65" i="8"/>
  <c r="E65" i="8" s="1"/>
  <c r="D61" i="8"/>
  <c r="E61" i="8" s="1"/>
  <c r="D56" i="8"/>
  <c r="E56" i="8" s="1"/>
  <c r="D11" i="5" l="1"/>
  <c r="D10" i="5"/>
  <c r="B7" i="5"/>
  <c r="G23" i="5"/>
  <c r="E23" i="5"/>
  <c r="C23" i="5"/>
  <c r="B23" i="5"/>
  <c r="G22" i="5"/>
  <c r="E22" i="5"/>
  <c r="C22" i="5"/>
  <c r="B22" i="5"/>
  <c r="I19" i="5"/>
  <c r="D19" i="5"/>
  <c r="I18" i="5"/>
  <c r="D18" i="5"/>
  <c r="I17" i="5"/>
  <c r="D17" i="5"/>
  <c r="I16" i="5"/>
  <c r="D16" i="5"/>
  <c r="G15" i="5"/>
  <c r="E15" i="5"/>
  <c r="C15" i="5"/>
  <c r="B15" i="5"/>
  <c r="D14" i="5"/>
  <c r="E14" i="5" s="1"/>
  <c r="D13" i="5"/>
  <c r="E13" i="5" s="1"/>
  <c r="I12" i="5"/>
  <c r="D12" i="5"/>
  <c r="I11" i="5"/>
  <c r="I10" i="5"/>
  <c r="I9" i="5"/>
  <c r="I8" i="5"/>
  <c r="D8" i="5"/>
  <c r="G7" i="5"/>
  <c r="C7" i="5"/>
  <c r="D17" i="4"/>
  <c r="B17" i="4"/>
  <c r="H17" i="4"/>
  <c r="C27" i="4"/>
  <c r="D27" i="4"/>
  <c r="E27" i="4"/>
  <c r="B27" i="4"/>
  <c r="C95" i="14"/>
  <c r="D95" i="14"/>
  <c r="B95" i="14"/>
  <c r="E95" i="14"/>
  <c r="D65" i="14"/>
  <c r="D66" i="14"/>
  <c r="D67" i="14"/>
  <c r="D64" i="14"/>
  <c r="D59" i="14"/>
  <c r="D60" i="14"/>
  <c r="D61" i="14"/>
  <c r="C34" i="14"/>
  <c r="D21" i="14"/>
  <c r="D22" i="14"/>
  <c r="D23" i="14"/>
  <c r="D24" i="14"/>
  <c r="D20" i="14"/>
  <c r="D15" i="14"/>
  <c r="D16" i="14"/>
  <c r="D17" i="14"/>
  <c r="D18" i="14"/>
  <c r="D14" i="14"/>
  <c r="C70" i="15"/>
  <c r="B70" i="15"/>
  <c r="D69" i="15"/>
  <c r="H68" i="15"/>
  <c r="D68" i="15"/>
  <c r="H67" i="15"/>
  <c r="D67" i="15"/>
  <c r="H58" i="15"/>
  <c r="C58" i="15"/>
  <c r="D58" i="15" s="1"/>
  <c r="H57" i="15"/>
  <c r="D57" i="15"/>
  <c r="H56" i="15"/>
  <c r="D56" i="15"/>
  <c r="H55" i="15"/>
  <c r="H53" i="15"/>
  <c r="B53" i="15"/>
  <c r="H52" i="15"/>
  <c r="D52" i="15"/>
  <c r="E50" i="15"/>
  <c r="B50" i="15"/>
  <c r="D55" i="15" s="1"/>
  <c r="H48" i="15"/>
  <c r="D48" i="15"/>
  <c r="H47" i="15"/>
  <c r="D47" i="15"/>
  <c r="H46" i="15"/>
  <c r="D46" i="15"/>
  <c r="H45" i="15"/>
  <c r="D45" i="15"/>
  <c r="C44" i="15"/>
  <c r="D20" i="15"/>
  <c r="D19" i="15"/>
  <c r="D16" i="15"/>
  <c r="H32" i="15"/>
  <c r="I32" i="15" s="1"/>
  <c r="I31" i="15"/>
  <c r="I30" i="15"/>
  <c r="D29" i="15"/>
  <c r="H27" i="15"/>
  <c r="I27" i="15" s="1"/>
  <c r="D27" i="15"/>
  <c r="H26" i="15"/>
  <c r="I26" i="15" s="1"/>
  <c r="D26" i="15"/>
  <c r="G25" i="15"/>
  <c r="F25" i="15"/>
  <c r="E25" i="15"/>
  <c r="D25" i="15"/>
  <c r="H24" i="15"/>
  <c r="I24" i="15" s="1"/>
  <c r="D24" i="15"/>
  <c r="H23" i="15"/>
  <c r="I23" i="15" s="1"/>
  <c r="D23" i="15"/>
  <c r="G22" i="15"/>
  <c r="F22" i="15"/>
  <c r="E22" i="15"/>
  <c r="D22" i="15"/>
  <c r="D21" i="15"/>
  <c r="E21" i="15" s="1"/>
  <c r="D18" i="15"/>
  <c r="E18" i="15" s="1"/>
  <c r="F17" i="15"/>
  <c r="H17" i="15" s="1"/>
  <c r="D17" i="15"/>
  <c r="C9" i="12"/>
  <c r="D7" i="12"/>
  <c r="B6" i="12"/>
  <c r="B9" i="12" s="1"/>
  <c r="D5" i="12"/>
  <c r="D15" i="5" l="1"/>
  <c r="D23" i="5"/>
  <c r="C53" i="15"/>
  <c r="D53" i="15" s="1"/>
  <c r="D44" i="15"/>
  <c r="D34" i="15"/>
  <c r="D58" i="14"/>
  <c r="C20" i="5"/>
  <c r="D63" i="14"/>
  <c r="B24" i="5"/>
  <c r="C24" i="5"/>
  <c r="I22" i="5"/>
  <c r="I14" i="5"/>
  <c r="I13" i="5"/>
  <c r="D22" i="5"/>
  <c r="G20" i="5"/>
  <c r="I15" i="5"/>
  <c r="E7" i="5"/>
  <c r="D7" i="5"/>
  <c r="D9" i="5"/>
  <c r="G24" i="5"/>
  <c r="B20" i="5"/>
  <c r="I23" i="5"/>
  <c r="E24" i="5"/>
  <c r="D70" i="15"/>
  <c r="C50" i="15"/>
  <c r="D50" i="15" s="1"/>
  <c r="H50" i="15"/>
  <c r="H25" i="15"/>
  <c r="I25" i="15" s="1"/>
  <c r="F21" i="15"/>
  <c r="E19" i="15"/>
  <c r="E16" i="15"/>
  <c r="F18" i="15"/>
  <c r="F16" i="15" s="1"/>
  <c r="H22" i="15"/>
  <c r="I22" i="15" s="1"/>
  <c r="D9" i="12"/>
  <c r="D6" i="12"/>
  <c r="D24" i="5" l="1"/>
  <c r="C25" i="5"/>
  <c r="E34" i="15"/>
  <c r="E66" i="15" s="1"/>
  <c r="E69" i="15" s="1"/>
  <c r="D68" i="14"/>
  <c r="D33" i="14"/>
  <c r="B33" i="14"/>
  <c r="D32" i="14"/>
  <c r="D34" i="14" s="1"/>
  <c r="B32" i="14"/>
  <c r="B34" i="14" s="1"/>
  <c r="I7" i="5"/>
  <c r="E20" i="5"/>
  <c r="B25" i="5"/>
  <c r="D20" i="5"/>
  <c r="D25" i="5" s="1"/>
  <c r="G25" i="5"/>
  <c r="H7" i="5" s="1"/>
  <c r="I24" i="5"/>
  <c r="I34" i="15"/>
  <c r="G18" i="15"/>
  <c r="G16" i="15" s="1"/>
  <c r="G21" i="15"/>
  <c r="F19" i="15"/>
  <c r="F34" i="15" s="1"/>
  <c r="F66" i="15" s="1"/>
  <c r="H16" i="15" l="1"/>
  <c r="H18" i="15"/>
  <c r="I18" i="15" s="1"/>
  <c r="F69" i="15"/>
  <c r="F70" i="15" s="1"/>
  <c r="H25" i="5"/>
  <c r="H66" i="15"/>
  <c r="H24" i="5"/>
  <c r="H19" i="5"/>
  <c r="H11" i="5"/>
  <c r="H18" i="5"/>
  <c r="H10" i="5"/>
  <c r="H17" i="5"/>
  <c r="H9" i="5"/>
  <c r="H12" i="5"/>
  <c r="H16" i="5"/>
  <c r="H8" i="5"/>
  <c r="H13" i="5"/>
  <c r="H14" i="5"/>
  <c r="H15" i="5"/>
  <c r="E25" i="5"/>
  <c r="F25" i="5" s="1"/>
  <c r="I20" i="5"/>
  <c r="H20" i="5"/>
  <c r="H23" i="5"/>
  <c r="H22" i="5"/>
  <c r="G19" i="15"/>
  <c r="H19" i="15" s="1"/>
  <c r="H21" i="15"/>
  <c r="I21" i="15" s="1"/>
  <c r="H34" i="15" l="1"/>
  <c r="G34" i="15"/>
  <c r="F23" i="5"/>
  <c r="F7" i="5"/>
  <c r="E70" i="15"/>
  <c r="H69" i="15"/>
  <c r="H70" i="15" s="1"/>
  <c r="F16" i="5"/>
  <c r="F8" i="5"/>
  <c r="F9" i="5"/>
  <c r="F10" i="5"/>
  <c r="F12" i="5"/>
  <c r="F19" i="5"/>
  <c r="F11" i="5"/>
  <c r="F18" i="5"/>
  <c r="F17" i="5"/>
  <c r="F14" i="5"/>
  <c r="F15" i="5"/>
  <c r="F13" i="5"/>
  <c r="F24" i="5"/>
  <c r="I25" i="5"/>
  <c r="J25" i="5" s="1"/>
  <c r="F20" i="5"/>
  <c r="F22" i="5"/>
  <c r="J20" i="5" l="1"/>
  <c r="J7" i="5"/>
  <c r="J19" i="5"/>
  <c r="J12" i="5"/>
  <c r="J9" i="5"/>
  <c r="J18" i="5"/>
  <c r="J16" i="5"/>
  <c r="J10" i="5"/>
  <c r="J8" i="5"/>
  <c r="J11" i="5"/>
  <c r="J17" i="5"/>
  <c r="J22" i="5"/>
  <c r="J13" i="5"/>
  <c r="J23" i="5"/>
  <c r="J15" i="5"/>
  <c r="J14" i="5"/>
  <c r="J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tc={A40D2AFB-FFEC-4DA9-AC87-5B38316F8378}</author>
  </authors>
  <commentList>
    <comment ref="A15" authorId="0" shapeId="0" xr:uid="{A40D2AFB-FFEC-4DA9-AC87-5B38316F8378}">
      <text>
        <t>[Threaded comment]
Your version of Excel allows you to read this threaded comment; however, any edits to it will get removed if the file is opened in a newer version of Excel. Learn more: https://go.microsoft.com/fwlink/?linkid=870924
Comment:
    Suggest making table name consistent with updated table name in report: Estimated Mercury (Hg) and Untreated Wastewater Pollution from Artisanal Mills Avoided due to Calibre Ore Processing</t>
      </text>
    </comment>
  </commentList>
</comments>
</file>

<file path=xl/sharedStrings.xml><?xml version="1.0" encoding="utf-8"?>
<sst xmlns="http://schemas.openxmlformats.org/spreadsheetml/2006/main" count="1866" uniqueCount="1239">
  <si>
    <t>N°</t>
  </si>
  <si>
    <t>N/A</t>
  </si>
  <si>
    <t>GRI 2-2</t>
  </si>
  <si>
    <t>SASB EM-MM-000.A</t>
  </si>
  <si>
    <t>GRI 2-28</t>
  </si>
  <si>
    <t>GRI 2-29</t>
  </si>
  <si>
    <t>GRI 3-2</t>
  </si>
  <si>
    <t>GRI 2-9, 405-1</t>
  </si>
  <si>
    <t>GRI 2-26</t>
  </si>
  <si>
    <t>GRI 205-1</t>
  </si>
  <si>
    <t>GRI 205-2</t>
  </si>
  <si>
    <t>GRI 205-3</t>
  </si>
  <si>
    <t>GRI 308-1, 414-1</t>
  </si>
  <si>
    <t>GRI 410-1</t>
  </si>
  <si>
    <t>EM-MM-160a.1</t>
  </si>
  <si>
    <t>GRI 303-3</t>
  </si>
  <si>
    <t>GRI 303-4</t>
  </si>
  <si>
    <t>GRI 303-5</t>
  </si>
  <si>
    <t>GRI MM3; &amp; SASB EM-MM-150a.1; EM-MM-150a.2; EM-MM-150a.5; EM-MM-150a.6</t>
  </si>
  <si>
    <t>GRI 306-4, SASB EM-MM-150A.8</t>
  </si>
  <si>
    <t>GRI 306-5</t>
  </si>
  <si>
    <t>SASB EM-MM-150A.4</t>
  </si>
  <si>
    <t>SASB EM-MM-150A.1</t>
  </si>
  <si>
    <t>SASB EM-MM-150A.3, EM-MM-540a.4</t>
  </si>
  <si>
    <t>GRI 304-2</t>
  </si>
  <si>
    <t>304-3</t>
  </si>
  <si>
    <t>GRI 302-1, SASB EM-MM-130A.1</t>
  </si>
  <si>
    <t>GRI 302-3</t>
  </si>
  <si>
    <t>GRI 305-1; 305-2; 305-4; &amp; SASB EM-MM-110A.1</t>
  </si>
  <si>
    <t>GRI 2-7</t>
  </si>
  <si>
    <t>GRI 2-8</t>
  </si>
  <si>
    <t>GRI 401-1</t>
  </si>
  <si>
    <t>GRI 401-4</t>
  </si>
  <si>
    <t>GRI 405-1</t>
  </si>
  <si>
    <t>GRI 405-2</t>
  </si>
  <si>
    <t>GRI 2-30, SASB EM-MM-310A.1</t>
  </si>
  <si>
    <t>GRI 403-5</t>
  </si>
  <si>
    <t>GRI 403-8</t>
  </si>
  <si>
    <t>GRI 403-10</t>
  </si>
  <si>
    <t>GRI 413-1</t>
  </si>
  <si>
    <t>GRI 413-2</t>
  </si>
  <si>
    <t>MM5</t>
  </si>
  <si>
    <t>MM6</t>
  </si>
  <si>
    <t>MM7</t>
  </si>
  <si>
    <t>MM9</t>
  </si>
  <si>
    <t>MM8</t>
  </si>
  <si>
    <t>GRI 201-1</t>
  </si>
  <si>
    <t>GRI 202-1</t>
  </si>
  <si>
    <t>GRI 203-1</t>
  </si>
  <si>
    <t>GRI 203-2</t>
  </si>
  <si>
    <t>GRI 204-1, LPRM 302</t>
  </si>
  <si>
    <t xml:space="preserve">www.calibremining.com (ESG Overview Section) </t>
  </si>
  <si>
    <t>(GRI  2-2)</t>
  </si>
  <si>
    <t>La Libertad, Chontales
Santo Domingo, Chontales
Rancho Grande, Matagalpa</t>
  </si>
  <si>
    <t>Eastern Borosi Project (EBP)</t>
  </si>
  <si>
    <t>Rosita, RACCN</t>
  </si>
  <si>
    <t>Rio Tinto Exploration JV</t>
  </si>
  <si>
    <t>(SASB EM-MM-000.A)</t>
  </si>
  <si>
    <t>US$328,132</t>
  </si>
  <si>
    <t>US$58,199</t>
  </si>
  <si>
    <t>AISC ($/oz):</t>
  </si>
  <si>
    <t>$1,136</t>
  </si>
  <si>
    <t>US$ 32M</t>
  </si>
  <si>
    <t>US$ 51.9M</t>
  </si>
  <si>
    <t>US$ 47.4M</t>
  </si>
  <si>
    <t>US$ 3M</t>
  </si>
  <si>
    <t>US$ 335.7M</t>
  </si>
  <si>
    <t>(GRI 2-28)</t>
  </si>
  <si>
    <t>(GRI 2-29)</t>
  </si>
  <si>
    <t>(GRI 3-2)</t>
  </si>
  <si>
    <t>Yes</t>
  </si>
  <si>
    <t>Villanueva
Somotillo</t>
  </si>
  <si>
    <t>La Libertad
Santo Domingo
Rancho Grande
San Ramón
San Isidro</t>
  </si>
  <si>
    <t>Bonanza
Rosita
Siuna</t>
  </si>
  <si>
    <t>Bonanza
Rosita
Siuna
Waslala</t>
  </si>
  <si>
    <t>Rosita</t>
  </si>
  <si>
    <t>Siuna</t>
  </si>
  <si>
    <t>Total</t>
  </si>
  <si>
    <t>(GRI 304-2)</t>
  </si>
  <si>
    <t> N/A</t>
  </si>
  <si>
    <t>(GRI 304-3)</t>
  </si>
  <si>
    <t>Santo Domingo, Chontales</t>
  </si>
  <si>
    <t>No</t>
  </si>
  <si>
    <t>Rancho Grande, Matagalpa</t>
  </si>
  <si>
    <t>N</t>
  </si>
  <si>
    <t>(GRI 302-1, SASB EM-MM-130A.1)</t>
  </si>
  <si>
    <t xml:space="preserve"> </t>
  </si>
  <si>
    <t>%</t>
  </si>
  <si>
    <t>Solar</t>
  </si>
  <si>
    <t>(GRI 302-3)</t>
  </si>
  <si>
    <t>(GRI 305-1; 305-2; 305-4; &amp; SASB EM-MM-110A.1)</t>
  </si>
  <si>
    <t>Total (tCO2e)</t>
  </si>
  <si>
    <t xml:space="preserve">La Libertad, Chontales </t>
  </si>
  <si>
    <t>(GRI 413-1)</t>
  </si>
  <si>
    <t>Rio Tinto JV</t>
  </si>
  <si>
    <t>(GRI 413-2)</t>
  </si>
  <si>
    <t>Larreynaga, El Sauce, Villanueva</t>
  </si>
  <si>
    <t>La Libertad, Santo Domingo, Rancho Grande</t>
  </si>
  <si>
    <t>Bonanza, Rosita, Siuna, Waslala</t>
  </si>
  <si>
    <r>
      <t>N/A</t>
    </r>
    <r>
      <rPr>
        <sz val="8"/>
        <color rgb="FF36256E"/>
        <rFont val="Calibri"/>
        <family val="2"/>
        <scheme val="minor"/>
      </rPr>
      <t>  </t>
    </r>
  </si>
  <si>
    <t>Guapinol</t>
  </si>
  <si>
    <t>Tajo Antena</t>
  </si>
  <si>
    <t>La Libertad</t>
  </si>
  <si>
    <t>Mina El Limon</t>
  </si>
  <si>
    <t>Rancho Grande</t>
  </si>
  <si>
    <t>Santo Domingo</t>
  </si>
  <si>
    <t>(GRI 2-26)</t>
  </si>
  <si>
    <t>24/7</t>
  </si>
  <si>
    <t>(GRI 205-1)</t>
  </si>
  <si>
    <r>
      <t>3</t>
    </r>
    <r>
      <rPr>
        <sz val="8"/>
        <color rgb="FF36256E"/>
        <rFont val="Calibri"/>
        <family val="2"/>
        <scheme val="minor"/>
      </rPr>
      <t> </t>
    </r>
  </si>
  <si>
    <t>(GRI 205-2)</t>
  </si>
  <si>
    <t>78% (3)</t>
  </si>
  <si>
    <t>48 (4)</t>
  </si>
  <si>
    <t>(GRI 205-3)</t>
  </si>
  <si>
    <t>(SASB EM-MM-160A.1)</t>
  </si>
  <si>
    <t>(GRI 403-5, EM-MM-320a.1 )</t>
  </si>
  <si>
    <t>2hrs</t>
  </si>
  <si>
    <t>4-8hrs</t>
  </si>
  <si>
    <t>(GRI 403-8)</t>
  </si>
  <si>
    <t>EBP</t>
  </si>
  <si>
    <t>Managua</t>
  </si>
  <si>
    <t>(GRI 403-9; EM-MM-320a.1, SDG 8.8.1)</t>
  </si>
  <si>
    <t>CXB</t>
  </si>
  <si>
    <t>(GRI 403-10)</t>
  </si>
  <si>
    <t>N/D</t>
  </si>
  <si>
    <t>Nicaragua (1)</t>
  </si>
  <si>
    <t>(GRI 2-7, EM-MM-000.B )</t>
  </si>
  <si>
    <t>Local (1)</t>
  </si>
  <si>
    <t>(GRI 2-8)</t>
  </si>
  <si>
    <t>(GRI 401-1)</t>
  </si>
  <si>
    <t>&lt;30</t>
  </si>
  <si>
    <t>30 to 50</t>
  </si>
  <si>
    <t>&gt;50</t>
  </si>
  <si>
    <t>ND</t>
  </si>
  <si>
    <r>
      <t>2020</t>
    </r>
    <r>
      <rPr>
        <sz val="8"/>
        <color theme="0"/>
        <rFont val="Calibri"/>
        <family val="2"/>
        <scheme val="minor"/>
      </rPr>
      <t>  </t>
    </r>
  </si>
  <si>
    <t>51+</t>
  </si>
  <si>
    <t>(GRI 401-4)</t>
  </si>
  <si>
    <t>(GRI 405-1)</t>
  </si>
  <si>
    <t>(GRI 405-2)</t>
  </si>
  <si>
    <t>NA</t>
  </si>
  <si>
    <t>(GRI 2-30, SASB EM-MM-310A.1)</t>
  </si>
  <si>
    <t>Cebadilla and Pozo 7</t>
  </si>
  <si>
    <t>Changes in Access to Sanitation</t>
  </si>
  <si>
    <t>(GRI 308-1, 414-1)</t>
  </si>
  <si>
    <t>(GRI 410-1)</t>
  </si>
  <si>
    <t>(GRI 201-1)</t>
  </si>
  <si>
    <t>(GRI 202-1)</t>
  </si>
  <si>
    <t>(GRI 203-1)</t>
  </si>
  <si>
    <t>2021-2022</t>
  </si>
  <si>
    <t>Rosita, RAACN</t>
  </si>
  <si>
    <t>(GRI 203-2)</t>
  </si>
  <si>
    <t>(GRI 204-1, LPRM 302)</t>
  </si>
  <si>
    <t xml:space="preserve"> $  121,174,430 </t>
  </si>
  <si>
    <t xml:space="preserve"> $  69,275,421 </t>
  </si>
  <si>
    <t xml:space="preserve"> $  49,268,050 </t>
  </si>
  <si>
    <t xml:space="preserve"> $   2,630,958 </t>
  </si>
  <si>
    <t>(GRI 303-5)</t>
  </si>
  <si>
    <t>2020</t>
  </si>
  <si>
    <t>2021</t>
  </si>
  <si>
    <t>(GRI MM3; &amp; SASB EM-MM-150a.1; EM-MM-150a.2; EM-MM-150a.5; EM-MM-150a.6)</t>
  </si>
  <si>
    <t xml:space="preserve">N/D </t>
  </si>
  <si>
    <t>(GRI 306-3; SASB EM-MM-150A.7; &amp; SDG 12.4.2)</t>
  </si>
  <si>
    <t>(GRI 306-4, SASB EM-MM-150A.8)</t>
  </si>
  <si>
    <t>(GRI 306-5)</t>
  </si>
  <si>
    <t>(SASB EM-MM-150A.4)</t>
  </si>
  <si>
    <t>(SASB EM-MM-150A.1)</t>
  </si>
  <si>
    <t>La Esperanza</t>
  </si>
  <si>
    <t>La Libertad, Chontales, Nicaragua</t>
  </si>
  <si>
    <t> 20,000,000</t>
  </si>
  <si>
    <t>18,000,000 </t>
  </si>
  <si>
    <t>Mina El Limon, Larreynaga, Nicaragua</t>
  </si>
  <si>
    <t>(SASB EM-MM-150A.3)</t>
  </si>
  <si>
    <t>GW, SWW, MW</t>
  </si>
  <si>
    <t>(GRI 303-3)</t>
  </si>
  <si>
    <t>(GRI 303-4)</t>
  </si>
  <si>
    <t>Total2</t>
  </si>
  <si>
    <t/>
  </si>
  <si>
    <t>Maintain social license to operate Mantener la licencia social para operar</t>
  </si>
  <si>
    <t>Employees: Empleados:</t>
  </si>
  <si>
    <t>Frequency Frecuencia</t>
  </si>
  <si>
    <t xml:space="preserve">Yes Si </t>
  </si>
  <si>
    <t>H2O (cubic meters) / tonne ore (1) H2O (metros cúbicos) / tonelada de mineral (1)</t>
  </si>
  <si>
    <t>Total H2O (cubic meters) Total H2O (metros cúbicos)</t>
  </si>
  <si>
    <t># Recordable Work-related Injuries Lesiones relacionadas con el trabajo grabables</t>
  </si>
  <si>
    <t xml:space="preserve">Complejo La libertad </t>
  </si>
  <si>
    <t>National - Local (2) Nacional - Local (2)</t>
  </si>
  <si>
    <t>National - Non local (3) Nacional - No local (3)</t>
  </si>
  <si>
    <t>Foreign - national Extranjero - nacional</t>
  </si>
  <si>
    <t># individuals involved # individuos involucrados</t>
  </si>
  <si>
    <t>Complejo El Limón</t>
  </si>
  <si>
    <t>Hazardous waste desechos peligrosos</t>
  </si>
  <si>
    <t>Downstream Aguas abajo</t>
  </si>
  <si>
    <t>Other water Otras aguas</t>
  </si>
  <si>
    <t>Water discharge (1) by destination Vertido de agua (1) por destino</t>
  </si>
  <si>
    <t>Complejo El Limón2</t>
  </si>
  <si>
    <t>Complejo La Libertad</t>
  </si>
  <si>
    <t>Complejo La Libertad3</t>
  </si>
  <si>
    <t>Projects Proyectos</t>
  </si>
  <si>
    <t xml:space="preserve"> Tabla 15. Riesgos potenciales para las fuentes de agua</t>
  </si>
  <si>
    <t>Acerca de este documento:</t>
  </si>
  <si>
    <t xml:space="preserve"> Estructura de las Tablas de Datos sobre Desempeño ESG 2021</t>
  </si>
  <si>
    <t xml:space="preserve">Acerca de estos datos </t>
  </si>
  <si>
    <t>Información financiera y no financiera adicional</t>
  </si>
  <si>
    <t xml:space="preserve">Retroalimentación </t>
  </si>
  <si>
    <t xml:space="preserve">Agradecemos su retroalimentación sobre este informe o sobre cualquier otro aspecto de nuestro desempeño en materia de sostenibilidad. Sírvase enviar sus comentarios a calibre@calibremining.com.				</t>
  </si>
  <si>
    <t>Balance de sostenibilidad 2021</t>
  </si>
  <si>
    <t>Entidades incluidas en el informe de sostenibilidad de la organización</t>
  </si>
  <si>
    <r>
      <t xml:space="preserve">Monedas: todas las cifras financieras se expresan en dólares estadounidenses, a menos que se indique lo contrario. 
Redondeo: algunas cifras y porcentajes pueden no sumar la cifra total o el 100% debido al redondeo.
</t>
    </r>
    <r>
      <rPr>
        <sz val="9"/>
        <color rgb="FF36256E"/>
        <rFont val="Calibri"/>
        <family val="2"/>
        <scheme val="minor"/>
      </rPr>
      <t>Definición de local: A lo largo de este informe, utilizamos el término "local" para referirnos a  comunidades,  proveedores y  trabajadores. Hemos definido nuestro ámbito geográfico utilizando anillos concéntricos que se refieren a los límites administrativos alrededor de nuestras operaciones. Se aplican tres categorías. Utilizamos "local" para las personas de las comunidades adyacentes o cercanas a nuestras operaciones. Utilizamos "nacional, no local" para los nicaragüenses que no provienen de comunidades adyacentes o cercanas a nuestras operaciones. Utilizamos "nacional" para la suma de nicaragüenses locales más no locales.</t>
    </r>
  </si>
  <si>
    <t>Vistazo general</t>
  </si>
  <si>
    <t>1. Visión general &gt; 1.2 Acerca de este informe &gt; 1.2.1 Alcance del informe</t>
  </si>
  <si>
    <t xml:space="preserve"> 1. Visión general &gt; 1.4 Perfil de la empresa</t>
  </si>
  <si>
    <t xml:space="preserve"> 1. Visión general &gt; 1.6 Compromisos y membresías </t>
  </si>
  <si>
    <t xml:space="preserve"> 1. Visión general &gt; 1.8 Nuestros impactos &gt; 1.8.2 Proceso de materialidad y resultados</t>
  </si>
  <si>
    <t xml:space="preserve">2. Gobernanza &gt; 2.1 Gobernanza y Ética Empresarial &gt; 2.1.2 Desempeño 2021 </t>
  </si>
  <si>
    <t xml:space="preserve"> 2. Gobernanza &gt; 2.1 Gobernanza y Ética Empresarial &gt; 2.1.2 Desempeño 2021 </t>
  </si>
  <si>
    <t>2. Gobernanza &gt; 2.2 Adquisiciones responsables &gt; 2.2.2 Desempeño 2021</t>
  </si>
  <si>
    <t>2. Gobernanza &gt; 2.3 Prácticas de seguridad &gt; 2.3.2 Desempeño 2021</t>
  </si>
  <si>
    <t>3. Medio ambiente &gt; 3.1 Gestión ambiental &gt; 3.1.2 Desempeño 2021</t>
  </si>
  <si>
    <t>3. Medio ambiente &gt; 3.2 Agua y efluentes &gt; 3.2.2 Desempeño 2021</t>
  </si>
  <si>
    <t>3. Medio ambiente &gt; 3.3 Residuos y materiales &gt; 3.3.2 Desempeño 2021</t>
  </si>
  <si>
    <t xml:space="preserve"> 3. Medio ambiente &gt; 3.3 Residuos y materiales &gt; 3.3.2 Desempeño 2021</t>
  </si>
  <si>
    <t>3. Medio ambiente &gt; 3.4 Biodiversidad &gt; 3.4.2 Desempeño 2021</t>
  </si>
  <si>
    <t>3. Medio ambiente &gt; 3.5 Cambio climático &gt; 3.5.2 Desempeño 2021</t>
  </si>
  <si>
    <t>4. Social &gt; 4.1 Derechos Laborales &gt; 4.1.2 Desempeño 2021</t>
  </si>
  <si>
    <t>4. Social &gt; 4.2 Salud y seguridad &gt; 4.2.2 Desempeño 2021</t>
  </si>
  <si>
    <t>4. Social &gt; 4.3 Derechos de las Comunidades y Pueblos Indígenas &gt; 4.3.2 Desempeño 2021</t>
  </si>
  <si>
    <t>1. Panorama general &gt; 1.1 Aspectos destacados de los resultados de 2021</t>
  </si>
  <si>
    <t xml:space="preserve">1. Visión general &gt; 1.7 Nuestro enfoque de relacionamiento con los actores de interés </t>
  </si>
  <si>
    <t>2. Gobernanza &gt; 2.1 Gobernanza y Ética Empresarial &gt; 2.1.2 Desempeño 2021</t>
  </si>
  <si>
    <t>4. Social &gt; 4.4 Adquisición de Tierras y Reasentamiento &gt; 4.4.2 Desempeño 2021</t>
  </si>
  <si>
    <t>4. Social &gt; 4.5 Minería artesanal y de pequeña escala &gt; 4.5.2 2021 Desempeño 2021</t>
  </si>
  <si>
    <t xml:space="preserve"> 4. Social &gt; 4.5 Minería artesanal y de pequeña escala &gt; 4.5.2 Desempeño 2021</t>
  </si>
  <si>
    <t>4. Social &gt; 4.6 Contribuciones socioeconómicas &gt; 4.6.2 Desempeño 2021</t>
  </si>
  <si>
    <r>
      <rPr>
        <b/>
        <sz val="9"/>
        <color rgb="FF36256E"/>
        <rFont val="Calibri"/>
        <family val="2"/>
        <scheme val="minor"/>
      </rPr>
      <t xml:space="preserve">Relaciones financieras y con los inversionistas. </t>
    </r>
    <r>
      <rPr>
        <sz val="9"/>
        <color rgb="FF36256E"/>
        <rFont val="Calibri"/>
        <family val="2"/>
        <scheme val="minor"/>
      </rPr>
      <t xml:space="preserve">Para obtener información adicional sobre las presentaciones de relaciones con los inversionistas, información financiera y  comunicaciones de Calibre, sírvase visitar nuestro sitio web en https://www.calibremining.com/investors/investing-highlights/ 
</t>
    </r>
    <r>
      <rPr>
        <b/>
        <sz val="9"/>
        <color rgb="FF36256E"/>
        <rFont val="Calibri"/>
        <family val="2"/>
        <scheme val="minor"/>
      </rPr>
      <t>Junta Directiva, compensación de los ejecutivos, detalles conexos.</t>
    </r>
    <r>
      <rPr>
        <sz val="9"/>
        <color rgb="FF36256E"/>
        <rFont val="Calibri"/>
        <family val="2"/>
        <scheme val="minor"/>
      </rPr>
      <t xml:space="preserve"> Para obtener más información sobre la remuneración de los directores y ejecutivos y el proceso de comunicación con la Junta Directiva, consulte la sección de materiales de la Asamblea General de Accionistas en nuestro sitio web: https://www.calibremining.com/investors/agm-materials/
</t>
    </r>
    <r>
      <rPr>
        <b/>
        <sz val="9"/>
        <color rgb="FF36256E"/>
        <rFont val="Calibri"/>
        <family val="2"/>
        <scheme val="minor"/>
      </rPr>
      <t>Gobernanza y ética.</t>
    </r>
    <r>
      <rPr>
        <sz val="9"/>
        <color rgb="FF36256E"/>
        <rFont val="Calibri"/>
        <family val="2"/>
        <scheme val="minor"/>
      </rPr>
      <t xml:space="preserve"> Los detalles de nuestros Manuales de Políticas y Procedimientos de Gobernanza Corporativa, incluyendo nuestro Código de Conducta y Ética Empresarial, pueden encontrarse en nuestro sitio web en https://www.calibremining.com/site/assets/files/5558/20200807-2020-cxb-corporate_governance-manual-_final-eff-1.pdf
</t>
    </r>
    <r>
      <rPr>
        <b/>
        <sz val="9"/>
        <color rgb="FF36256E"/>
        <rFont val="Calibri"/>
        <family val="2"/>
        <scheme val="minor"/>
      </rPr>
      <t>Conjunto de informes de sostenibilidad.</t>
    </r>
    <r>
      <rPr>
        <sz val="9"/>
        <color rgb="FF36256E"/>
        <rFont val="Calibri"/>
        <family val="2"/>
        <scheme val="minor"/>
      </rPr>
      <t xml:space="preserve"> Las Tablas de Datos ESG 2021 forman parte de un conjunto más amplio de nuestros informes de sostenibilidad, incluyendo nuestro primer Informe de Sostenibilidad 2020, y nuestro Informe de autoevaluación de los RGMP del año uno y resultados verificados externamente, todos disponibles en nuestro sitio web en https://www.calibremining.com/esg/overview/ 
Noticias. Las notas de prensa se colocan en nuestra sección Noticias disponible en nuestro sitio web en https://www.calibremining.com/news/
 </t>
    </r>
  </si>
  <si>
    <t>Gobernanza corporativa y ética empresarial</t>
  </si>
  <si>
    <t>Adquisiciones responsables</t>
  </si>
  <si>
    <t>Prácticas de seguridad</t>
  </si>
  <si>
    <t>Gestión ambiental</t>
  </si>
  <si>
    <t>Agua y efluentes</t>
  </si>
  <si>
    <t>Residuos y materiales</t>
  </si>
  <si>
    <t>Biodiversidad</t>
  </si>
  <si>
    <t>Cambio climático</t>
  </si>
  <si>
    <t>Derechos laborales</t>
  </si>
  <si>
    <t>Salud y seguridad</t>
  </si>
  <si>
    <t>Derechos de las comunidades y los pueblos indígenas</t>
  </si>
  <si>
    <t>Adquisición de tierras y reasentamiento</t>
  </si>
  <si>
    <t>Minería artesanal y de pequeña escala</t>
  </si>
  <si>
    <t>Contribuciones socioeconómicas</t>
  </si>
  <si>
    <t xml:space="preserve"> Contribuciones socioeconómicas</t>
  </si>
  <si>
    <t xml:space="preserve">Datos 2021 </t>
  </si>
  <si>
    <t>Membresías y asociaciones</t>
  </si>
  <si>
    <t>Lista de temas materiales</t>
  </si>
  <si>
    <t xml:space="preserve">Enfoque para la participación de los grupos de interés </t>
  </si>
  <si>
    <t>Estructura de gobernanza y composición,  diversidad de órganos de gobierno</t>
  </si>
  <si>
    <t>Mecanismos para solicitar asesoramiento y plantear inquietudes</t>
  </si>
  <si>
    <t>Nuevos proveedores que han pasado filtros de selección de acuerdo con criterios ambientales y sociales</t>
  </si>
  <si>
    <t>Personal de seguridad capacitado en políticas o procedimientos de derechos humanos</t>
  </si>
  <si>
    <t>Descripción de las políticas y prácticas de gestión ambiental (PGA por sus siglas en inglés) de los centros activos</t>
  </si>
  <si>
    <t>Riesgos potenciales para las fuentes de agua</t>
  </si>
  <si>
    <t>Extracción de agua por fuente (ML)</t>
  </si>
  <si>
    <t xml:space="preserve"> Vertido de agua (ML)</t>
  </si>
  <si>
    <t>Consumo de agua (ML)</t>
  </si>
  <si>
    <t>Intensidad del cianuro</t>
  </si>
  <si>
    <t>Residuos generados</t>
  </si>
  <si>
    <t>Peso total de residuos no minerales generados (T)</t>
  </si>
  <si>
    <t xml:space="preserve">Tabla de inventario de presas de cola </t>
  </si>
  <si>
    <t>Número de presas de colas, desglosados por potencial de riesgo MSHA</t>
  </si>
  <si>
    <t>Cantidad de tierra en propiedad o arrendada, y gestionada para actividades de producción o uso extractivo, perturbada o rehabilitada</t>
  </si>
  <si>
    <t>Número y porcentaje del total de lugares que requieren planes de gestión de la biodiversidad según los criterios establecidos, y número (y porcentaje) de esos lugares con planes establecidos</t>
  </si>
  <si>
    <t>Número y porcentaje de operaciones con planes de cierre</t>
  </si>
  <si>
    <t>Consumo de energía en la organización</t>
  </si>
  <si>
    <t>Intensidad energética</t>
  </si>
  <si>
    <t>Empleados</t>
  </si>
  <si>
    <t>Trabajadores que no son empleados (contratistas)</t>
  </si>
  <si>
    <t>Contratación de nuevos empleados y rotación de personal</t>
  </si>
  <si>
    <t>Media de horas de capacitación al año por empleado, por género</t>
  </si>
  <si>
    <t>Porcentaje de empleados por categoría de empleado en categorías de diversidad</t>
  </si>
  <si>
    <t>Relación entre el salario básico y la remuneración de  mujeres y de hombres</t>
  </si>
  <si>
    <t>Convenios colectivos</t>
  </si>
  <si>
    <t>Formación de  trabajadores sobre salud y seguridad en el trabajo</t>
  </si>
  <si>
    <t>Trabajadores cubiertos por un sistema de gestión de la salud y la seguridad en el trabajo</t>
  </si>
  <si>
    <t>Datos de los empleados sobre lesiones por accidente laboral</t>
  </si>
  <si>
    <t>Datos de los contratistas sobre lesiones por accidente laboral</t>
  </si>
  <si>
    <t>Lesiones por accidente laboral registrables por tipo de incidente</t>
  </si>
  <si>
    <t>Otros datos relevantes</t>
  </si>
  <si>
    <t>Datos de los empleados sobre dolencias y enfermedades laborales</t>
  </si>
  <si>
    <t>Datos de los contratistas sobre dolencias y enfermedades laborales</t>
  </si>
  <si>
    <t>Tasa de mortalidad por lesiones debidas a accidentes de tráfico</t>
  </si>
  <si>
    <t>Consultas públicas celebradas</t>
  </si>
  <si>
    <t>Operaciones con programas de participación de la comunidad local, evaluaciones del impacto y desarrollo</t>
  </si>
  <si>
    <t>Operaciones con impactos significativos -reales o potenciales- en las comunidades locales</t>
  </si>
  <si>
    <t>Número total de operaciones que tienen lugar en territorios de  Pueblos Indígenas o adyacentes a ellos, y número y porcentaje de operaciones o lugares en los que existen acuerdos formales con comunidades de Pueblos Indígenas</t>
  </si>
  <si>
    <t>Número y descripción de controversias importantes relacionados con el uso de la tierra, los derechos consuetudinarios de las comunidades locales y los pueblos indígenas</t>
  </si>
  <si>
    <t>Grado de utilización de los mecanismos de reclamación para resolver disputas relacionadas con el uso de la tierra, los derechos consuetudinarios de las comunidades locales y los pueblos indígenas, y los resultados</t>
  </si>
  <si>
    <t>Proporción de la población que se ha visto implicada en alguna controversia en los últimos dos años y  ha accedido a un mecanismo oficial u oficioso de solución de controversias, desglosada por tipo de mecanismo</t>
  </si>
  <si>
    <t>GRI 306-3; SASB EM-MM-150A.7; &amp; ODS 12.4.2</t>
  </si>
  <si>
    <t>GRI 403-9; ODS 8.8.1</t>
  </si>
  <si>
    <t>ODS 3.6.1</t>
  </si>
  <si>
    <t>ODS 16.3.3</t>
  </si>
  <si>
    <t>Impactos significativos de las actividades, productos y servicios en la biodiversidad</t>
  </si>
  <si>
    <t>Hábitats protegidos o restaurados</t>
  </si>
  <si>
    <t>Proporción de la población que vive en hogares con acceso a servicios básicos</t>
  </si>
  <si>
    <t>(Suplemento GRI del Sector de Minería y Metales MM9)</t>
  </si>
  <si>
    <t>Comunidades reasentadas</t>
  </si>
  <si>
    <t>Proporción del total de la población adulta con derechos seguros de tenencia de la tierra, que posee documentación reconocida legalmente al respecto y considera seguros sus derechos, desglosada por sexo y  tipo de tenencia</t>
  </si>
  <si>
    <t>Proporción de la población urbana que vive en barrios marginales, asentamientos improvisados o viviendas inadecuadas</t>
  </si>
  <si>
    <t>ODS 1.4.1</t>
  </si>
  <si>
    <t>ODS 1.4.2</t>
  </si>
  <si>
    <t>ODS 11.1.1</t>
  </si>
  <si>
    <t xml:space="preserve">ODS 6.1.1 </t>
  </si>
  <si>
    <t xml:space="preserve">ODS 6.2.1 </t>
  </si>
  <si>
    <t>ODS 16.7.2</t>
  </si>
  <si>
    <t>ODS 6.3.2</t>
  </si>
  <si>
    <t>Lugares donde se produjo el reasentamiento, número de hogares reasentados en cada uno de ellos y cómo sus medios de vida se vieron afectados en el proceso</t>
  </si>
  <si>
    <t>Proportion of urban population using safely managed drinking water services Proporción de la población urbana que dispone de servicios de suministro de agua potable gestionados de manera segura</t>
  </si>
  <si>
    <t xml:space="preserve">Proporción de la población que utiliza servicios de saneamiento gestionados sin riesgo </t>
  </si>
  <si>
    <t>Proporción de la población que considera que la adopción de decisiones es inclusiva y participativa</t>
  </si>
  <si>
    <t>Número (y porcentaje) de centros de operación de la empresa donde existe MAPE, o adyacente a la operación;  los riesgos conexos y las medidas adoptadas para gestionar y mitigar estos riesgos</t>
  </si>
  <si>
    <t xml:space="preserve">Proporción de masas de agua de buena calidad </t>
  </si>
  <si>
    <t>Valor económico directo generado y distribuido</t>
  </si>
  <si>
    <t>Ratios entre el salario de categoría inicial estándar por género y el salario mínimo local</t>
  </si>
  <si>
    <t>Inversiones en infraestructuras y servicios apoyados</t>
  </si>
  <si>
    <t>Impactos económicos indirectos significativos</t>
  </si>
  <si>
    <t>Proporción de gasto en proveedores locales</t>
  </si>
  <si>
    <t>Note:
(1) Incluye empleados y contratistas</t>
  </si>
  <si>
    <t>Residuos no destinados a eliminación</t>
  </si>
  <si>
    <t>Tabla 22. Residuos no destinados a eliminación</t>
  </si>
  <si>
    <t>Tabla 23. Residuos destinados a eliminación</t>
  </si>
  <si>
    <t>Tabla 16. Extracción de agua por fuente (ML)</t>
  </si>
  <si>
    <t>Tabla 17. Vertido de agua (ML)</t>
  </si>
  <si>
    <t># Nuevos proveedores en 2021</t>
  </si>
  <si>
    <t># Nuevos proveedores seleccionados en 2021 (1)</t>
  </si>
  <si>
    <t xml:space="preserve"> % del total</t>
  </si>
  <si>
    <t xml:space="preserve">Nota:
(1) Los proveedores fueron pasados por filtros en busca de noticias negativas relacionadas con impactos negativos en el medio ambiente, y abusos asociados a los derechos humanos, como el trabajo infantil , el trabajo forzado, el trato degradante, la tortura y la violencia sexual generalizada, el apoyo a grupos armados, la extorsión monetaria, la corrupción, el soborno, el lavado dinero y la evasión fiscal.		</t>
  </si>
  <si>
    <t xml:space="preserve">Metas 2021 </t>
  </si>
  <si>
    <t>Resultados 2021</t>
  </si>
  <si>
    <t>Alcanzado</t>
  </si>
  <si>
    <t>Alcanzado parcialmente</t>
  </si>
  <si>
    <t xml:space="preserve">Adoptar los RGMP del Consejo Mundial del Oro como nuestro principal marco de información ESG </t>
  </si>
  <si>
    <t xml:space="preserve">Informar de los resultados de nuestra autoevaluación año uno de los RGMP y la verificación externa </t>
  </si>
  <si>
    <t>Diseñar política de prevención del acoso y lanzar capacitación conexa</t>
  </si>
  <si>
    <t xml:space="preserve">Lanzar capacitación en habilidades interpersonales para mejorar liderazgo y trabajo en equipo
</t>
  </si>
  <si>
    <t xml:space="preserve">Poner en marcha un programa para titulados universitarios y pasantías </t>
  </si>
  <si>
    <t xml:space="preserve">SALUD Y SEGURIDAD </t>
  </si>
  <si>
    <t>Cero fallecimientos resultantes de una lesión por accidente laboral</t>
  </si>
  <si>
    <t>Reducción del 10% de la LTIFR</t>
  </si>
  <si>
    <t>Continuar con el plan de mejora de la salud y la seguridad en el trabajo de 18 meses</t>
  </si>
  <si>
    <t>Mejorar la identificación de riesgos y peligros</t>
  </si>
  <si>
    <t>COMUNIDADES</t>
  </si>
  <si>
    <t>Forjar relaciones constructivas con los Pueblos Indígenas en los sitios de exploración</t>
  </si>
  <si>
    <t>Completar el plan de acción de reasentamiento (RAP por sus siglas en inglés) para la comunidad de Cebadilla</t>
  </si>
  <si>
    <t>Cerrar el 90% de las reclamaciones/quejas de alto riesgo en un plazo de 60 días</t>
  </si>
  <si>
    <t>Mejorar y ampliar los sistemas de agua potable en El Limón y La Libertad</t>
  </si>
  <si>
    <t>Desarrollar e implementar una estrategia de contenido local</t>
  </si>
  <si>
    <t xml:space="preserve">MEDIO AMBIENTE </t>
  </si>
  <si>
    <t>Cero incidentes ambientales reportables de alto riesgo</t>
  </si>
  <si>
    <t xml:space="preserve"> Mejorar inventarios de gases de efecto invernadero</t>
  </si>
  <si>
    <t>Realizar un análisis de las deficiencias en la implementación del código del cianuro</t>
  </si>
  <si>
    <t xml:space="preserve">Cero muertes de animales a causa de nuestras actividades incluidos en la Lista Roja Nacional de Especies Amenazadas </t>
  </si>
  <si>
    <t xml:space="preserve">Desempeño 2021 </t>
  </si>
  <si>
    <t xml:space="preserve">Informe de Sostenibilidad 2021 alineado con los RGMP.
</t>
  </si>
  <si>
    <t>Informe de Avance Año Uno de Implementación de los RGMP finalizado, verificado externamente y publicado.</t>
  </si>
  <si>
    <t xml:space="preserve">Diseño de política completado. Lanzamiento programado para 2022.
</t>
  </si>
  <si>
    <t xml:space="preserve">Capacitación impartida a 32 miembros del personal.
</t>
  </si>
  <si>
    <t xml:space="preserve">Lanzamiento del programa en el cuarto trimestre de 2021 con 12 pasantes.
</t>
  </si>
  <si>
    <t xml:space="preserve"> Cero fallecimientos resultantes de una lesión por accidente laboral en nuestra plantilla; un accidente relacionado con nuestras actividades provocó la muerte de un miembro de la comunidad. Véase en la sección de Salud y Seguridad más detalles.
</t>
  </si>
  <si>
    <t xml:space="preserve">LTIFR de 0.51, una reducción de ~22% desde 2020 (0.65).
</t>
  </si>
  <si>
    <t xml:space="preserve">Se ha alcanzado el 75% de avance. Acciones pendientes de finalizar en 2022.
</t>
  </si>
  <si>
    <t xml:space="preserve">Meta aplazada para el segundo trimestre de 2022.
</t>
  </si>
  <si>
    <t xml:space="preserve">Ninguna controversia con las comunidades.
</t>
  </si>
  <si>
    <t xml:space="preserve">94 consultas realizadas en proceso de solicitud de nuevas concesiones.
</t>
  </si>
  <si>
    <t xml:space="preserve">Se ha completado el RAP. </t>
  </si>
  <si>
    <t>Cerramos el 60% de las reclamaciones de alto riesgo en el término de 60 días.</t>
  </si>
  <si>
    <t>Sistema mejorado en El Limón. Proyecto de La Libertad aplazado hasta 2022.</t>
  </si>
  <si>
    <t>Se han realizado actividades de contenido local, pero no se ha desarrollado ninguna estrategia.</t>
  </si>
  <si>
    <t>Hechas mejoras en el inventario.</t>
  </si>
  <si>
    <t>No hay incidentes notificables de alto riesgo.</t>
  </si>
  <si>
    <t>Análisis realizado y plan de acción para corregir las deficiencias en curso.</t>
  </si>
  <si>
    <t>Cero muertes de animales.</t>
  </si>
  <si>
    <t>Contribuciones Socioeconómicas</t>
  </si>
  <si>
    <t xml:space="preserve"> Derechos de las comunidades y Pueblos Indígenas</t>
  </si>
  <si>
    <t xml:space="preserve">Salud y seguridad </t>
  </si>
  <si>
    <t xml:space="preserve">Conozca más en las secciones del Informe: </t>
  </si>
  <si>
    <t xml:space="preserve">Tabla 2. Entidades incluidas en la presentación de informes de sostenibilidad de la organización </t>
  </si>
  <si>
    <t xml:space="preserve"> Entidad / Sitio</t>
  </si>
  <si>
    <t xml:space="preserve">Complejo El Limón </t>
  </si>
  <si>
    <t xml:space="preserve">Complejo La Libertad </t>
  </si>
  <si>
    <t>Proyecto Eastern Borosi (EBP)</t>
  </si>
  <si>
    <t xml:space="preserve">Molino El Limón </t>
  </si>
  <si>
    <t>Mina El Limón Central OP</t>
  </si>
  <si>
    <t>Exploración cerca de mina</t>
  </si>
  <si>
    <t xml:space="preserve">Exploración GENEX </t>
  </si>
  <si>
    <t xml:space="preserve">Molino La Libertad </t>
  </si>
  <si>
    <t>Nota: En algunos casos, el personal de la oficina corporativa (Managua, NIC) podría ser incluido en los datos reportados, en base a los requisitos de divulgación. Estas excepciones se señalan cuando corresponde.</t>
  </si>
  <si>
    <t xml:space="preserve">Riscos de Oro Radio en Desarrollo 
Exploración GENEX </t>
  </si>
  <si>
    <t>Ubicación</t>
  </si>
  <si>
    <t>Compañías</t>
  </si>
  <si>
    <t xml:space="preserve">Gestión ambiental </t>
  </si>
  <si>
    <t>Derechos de las comunidades y Pueblos Indígenas</t>
  </si>
  <si>
    <t>Mina El Limon, Larreynaga, León
El Sauce, León
Villanueva, Chinandega</t>
  </si>
  <si>
    <t xml:space="preserve">Mina Pavón Norte OP </t>
  </si>
  <si>
    <t>Mina Santa Pancha UG</t>
  </si>
  <si>
    <t xml:space="preserve">Mina Panteón UG </t>
  </si>
  <si>
    <t xml:space="preserve">Mina Veta Nueva UG </t>
  </si>
  <si>
    <t xml:space="preserve">Mina Jabalí UG </t>
  </si>
  <si>
    <t>Distrito BOROSI (Bonanza, Rosita, Siuna), RACCN
Waslala, RACCN</t>
  </si>
  <si>
    <t>CXB Nicaragua S.A. (Exploración de minerales)
Desarrollo Minero de Nicaragua S.A. (Producción de oro – propietarios de mina La Libertad Mine y propiedad Pavón )
Cerro Quiros Gold. S.A (Exploración de minerales)
Triton Minera S.A. (Producción de oro  – propietario de  mina  El Limón)
Calibre Mining Nicaragua S.A. (Exploración de minerales)</t>
  </si>
  <si>
    <t>Tabla 3. Datos 2021</t>
  </si>
  <si>
    <t>Oro producido (oz):</t>
  </si>
  <si>
    <t>PRESENCIA DE BENEFICIOS 2021</t>
  </si>
  <si>
    <t>Impuestos y regalías</t>
  </si>
  <si>
    <t>Pagos a proveedores en el país anfitrión:</t>
  </si>
  <si>
    <t>Salarios y beneficios de  empleados:</t>
  </si>
  <si>
    <t>Valor de  inversiones comunitarias:</t>
  </si>
  <si>
    <t>Total valor económico directo distribuido:</t>
  </si>
  <si>
    <t>182,755 onzas</t>
  </si>
  <si>
    <t xml:space="preserve">Ingresos /Revenue/ ($’000s): </t>
  </si>
  <si>
    <t xml:space="preserve">Ingresos netos ($´000s): </t>
  </si>
  <si>
    <t xml:space="preserve">Tabla 4. Membresías y asociaciones </t>
  </si>
  <si>
    <t xml:space="preserve">Asociación </t>
  </si>
  <si>
    <t>Consejo Mundial del Oro (WGC)</t>
  </si>
  <si>
    <t xml:space="preserve">El WGC es la organización de desarrollo del mercado para la industria del oro. Su propósito es estimular y mantener la demanda de oro, brindar liderazgo en la industria y ser la autoridad global en el mercado del oro.
</t>
  </si>
  <si>
    <t xml:space="preserve">Nuestro papel </t>
  </si>
  <si>
    <t>Como miembro del WGC, compartimos la visión unificada de asegurar una industria de minería de oro sostenible, basada en un profundo entendimiento del papel del oro en la sociedad, en el presente y en el futuro. Nos apegamos a los Principios de la Minería Responsable de Oro (RGMP), un marco que establece expectativas claras para los consumidores, los inversionistas y la cadena descendente de abastecimiento de oro en cuanto a qué constituye minería de oro responsable. En 2021, publicamos nuestro Informe de Avance de la Implementación de los Principios de la Minería de Oro Responsable Año Uno, que fue verificado externamente [link: https://www.calibremining.com/esg/overview/], y hemos hecho grandes avances en pro de lograr el pleno cumplimiento en el plazo de tres años establecido por el Consejo.</t>
  </si>
  <si>
    <t xml:space="preserve">Calibre ocupa la vicepresidencia del órgano rector de CAMINIC y participa plenamente en las actividades principales de la Cámara. </t>
  </si>
  <si>
    <t>Cámara minera de Nicaragua (CAMINIC)</t>
  </si>
  <si>
    <t xml:space="preserve">CAMINIC CAMINIC es una asociación civil, autónoma y sin fines de lucro creada en 1995. Está integrada por 49 socios en la minería metálica, no metálica y cooperativas que se dedican a la extracción de oro, plata, arena, piedra caliza, toba, piedra triturada y piedra cantera. 
</t>
  </si>
  <si>
    <t>Misión / Objetivo</t>
  </si>
  <si>
    <t>Compromisos voluntarios</t>
  </si>
  <si>
    <t xml:space="preserve">Principios Rectores de las Naciones Unidas sobre las Empresas y los Derechos Humanos  </t>
  </si>
  <si>
    <t xml:space="preserve">Los Principios Rectores de las Naciones Unidas sobre las Empresas y los Derechos Humanos (Principios Rectores) pretenden proporcionar una norma mundial autorizada para prevenir y tratar el riesgo sobre los derechos humanos de impactos adversos vinculados a la actividad empresarial. La Política de Responsabilidad Social y el Estándar sobre Derechos Humanos de Calibre se remite a los Principios Rectores como guía.  
</t>
  </si>
  <si>
    <t>Los Principios Voluntarios sobre Seguridad y Derechos Humanos (PVSDH) son un esfuerzo de colaboración entre gobiernos, las principales empresas extractivas multinacionales y ONG para orientar a las empresas sobre cómo llevar a cabo operaciones de seguridad respetando al mismo tiempo los derechos humanos. El Estándar sobre Derechos Humanos de Calibre se remite a los Principios Voluntarios como guía.</t>
  </si>
  <si>
    <t>Los Principios Mineros del Consejo Internacional de Minería y Metales (ICMM por sus siglas en inglés) definen los requisitos de buenas prácticas ambientales, sociales y de gobernanza para la industria minera y metalúrgica a través de un amplio conjunto de expectativas de desempeño. Los Estándares de Desempeño Social de Calibre se alinean con las expectativas de los Principios de Minería de ICMM.</t>
  </si>
  <si>
    <t xml:space="preserve">Las Normas de Desempeño de la Corporación Financiera Internacional (CFI) sobre Sostenibilidad Ambiental y Social son un punto de referencia internacional para identificar y gestionar los riesgos ambientales y sociales. Los Estándares de Desempeño Social de Calibre armonizan con los requisitos de la CFI. </t>
  </si>
  <si>
    <t xml:space="preserve">Principios Voluntarios sobre Seguridad y Derechos Humanos </t>
  </si>
  <si>
    <t xml:space="preserve">Principios Mineros del Consejo Internacional de Minería &amp; Metales  </t>
  </si>
  <si>
    <t xml:space="preserve">Normas de Desempeño de la Corporación Financiera Internacional </t>
  </si>
  <si>
    <t xml:space="preserve">Código Internacional para el Manejo del Cianuro </t>
  </si>
  <si>
    <t>El Código Internacional para el Manejo del Cianuro (Código del Cianuro) es un programa de certificación voluntaria para las empresas que fabrican, transportan y utilizan cianuro en la producción de oro y plata, para ayudarles a mejorar su manejo seguro del cianuro a fin de limitar los riesgos para la salud humana y el medio ambiente. Nuestro Estándar de Manejo del Cianuro se ajusta al Código del Cianuro.</t>
  </si>
  <si>
    <t>La Fundación Internacional de Normas de Información Financiera (Fundación IFRS) es una organización internacional sin fines de lucro responsable de la elaboración de un conjunto único de normas contables mundiales de alta calidad, conocidas como Normas NIIF. Los informes financieros de Calibre se apegan a las Normas NIIF.</t>
  </si>
  <si>
    <t>Los Objetivos de Desarrollo Sostenible de las Naciones Unidas (ODS) proporcionan un marco para la acción colectiva para poner fin a la pobreza y otras privaciones, abordar el cambio climático y preservar el medio ambiente. Los objetivos y compromisos de nuestra estrategia de sostenibilidad están alineados con los ODS específicos a nivel de metas.</t>
  </si>
  <si>
    <t xml:space="preserve">Fundación Internacional de Normas de Información Financiera </t>
  </si>
  <si>
    <t xml:space="preserve">Objetivos de Desarrollo Sostenible de las Naciones Unidas </t>
  </si>
  <si>
    <t xml:space="preserve">Tabla 5. Enfoque para la participación de los actores de interés </t>
  </si>
  <si>
    <t xml:space="preserve">Categoría de actor de interés </t>
  </si>
  <si>
    <t>Grupos de riesgo o vulnerables</t>
  </si>
  <si>
    <t>Socios comerciales (por ejemplo, empresas conjuntas, socios comerciales estratégicos)</t>
  </si>
  <si>
    <t>OSC, ONG e instituciones académicas</t>
  </si>
  <si>
    <t>Empleados y sindicatos</t>
  </si>
  <si>
    <t>Gobierno y órganos reguladores</t>
  </si>
  <si>
    <t>Pueblos Indígenas</t>
  </si>
  <si>
    <t>Comunidades de acogida</t>
  </si>
  <si>
    <t>Medios de comunicación</t>
  </si>
  <si>
    <t>Pares y asociaciones de la industria</t>
  </si>
  <si>
    <t>Accionistas, inversionistas y analistas</t>
  </si>
  <si>
    <t>Proveedores y contratistas</t>
  </si>
  <si>
    <t xml:space="preserve">Propósito de participación </t>
  </si>
  <si>
    <t>Identificar, evaluar y gestionar los impactos reales y potenciales.</t>
  </si>
  <si>
    <t>Informar/consultar/colaborar en temas tales como desempeño financiero y operativo, reservas y recursos, desempeño ESG, y regulaciones y permisos gubernamentales.</t>
  </si>
  <si>
    <t xml:space="preserve">Hacer investigaciones, establecer asociaciones, solicitar asesoramiento, escuchar y/o proporcionar información pertinente. </t>
  </si>
  <si>
    <t xml:space="preserve">Derecho a formar sindicatos o a afiliarse a ellos y a negociaciones colectivas.
Identificar, evaluar y gestionar los impactos reales y potenciales en temas como salud y seguridad, convenios colectivos, remuneración e incentivos, desempeño operativo y prácticas empresariales responsables.
 </t>
  </si>
  <si>
    <t>Informar, consultar o colaborar en temas tales como cumplimiento normativo y legal, reglamentos y permisos gubernamentales, impuestos y regalías, empleo, infraestructura y contribución a las prioridades de desarrollo socioeconómico, administración ambiental, y la aplicación del estado de derecho.</t>
  </si>
  <si>
    <t xml:space="preserve">Derecho a la consulta libre, previa e informada para concesiones nuevas </t>
  </si>
  <si>
    <r>
      <t>-</t>
    </r>
    <r>
      <rPr>
        <sz val="7"/>
        <color rgb="FF36256E"/>
        <rFont val="Times New Roman"/>
        <family val="1"/>
      </rPr>
      <t xml:space="preserve">  </t>
    </r>
    <r>
      <rPr>
        <sz val="9"/>
        <color rgb="FF36256E"/>
        <rFont val="Calibri"/>
        <family val="2"/>
        <scheme val="minor"/>
      </rPr>
      <t xml:space="preserve">Derecho a la consulta previa e informada para proyectos nuevos.
- Informar, identificar, evaluar y gestionar los riesgos, oportunidades e impactos reales y potenciales, tales como: empleo y oportunidades de negocios locales, inversión comunitaria, gestión ambiental, generación de ruido/polvo/vibración, acceso a la tierra/reasentamiento, distribución justa y transparente de las contribuciones económicas, etc. </t>
    </r>
  </si>
  <si>
    <r>
      <t>-</t>
    </r>
    <r>
      <rPr>
        <sz val="7"/>
        <color rgb="FF36256E"/>
        <rFont val="Times New Roman"/>
        <family val="1"/>
      </rPr>
      <t> </t>
    </r>
    <r>
      <rPr>
        <sz val="9"/>
        <color rgb="FF36256E"/>
        <rFont val="Calibri"/>
        <family val="2"/>
        <scheme val="minor"/>
      </rPr>
      <t>Proporcionar información de interés, como desempeño financiero, operativo y ESG, regulaciones y permisos gubernamentales, y fusiones, adquisiciones y cesiones.</t>
    </r>
  </si>
  <si>
    <t xml:space="preserve">Información </t>
  </si>
  <si>
    <r>
      <t>-</t>
    </r>
    <r>
      <rPr>
        <sz val="7"/>
        <color rgb="FF36256E"/>
        <rFont val="Times New Roman"/>
        <family val="1"/>
      </rPr>
      <t xml:space="preserve">  </t>
    </r>
    <r>
      <rPr>
        <sz val="9"/>
        <color rgb="FF36256E"/>
        <rFont val="Calibri"/>
        <family val="2"/>
        <scheme val="minor"/>
      </rPr>
      <t>Informar/discutir/colaborar en temas de interés común como posiciones políticas, objetivos de la industria, informes de desempeño del sitio, prácticas empresariales responsables y desempeño ESG.</t>
    </r>
  </si>
  <si>
    <r>
      <t>-</t>
    </r>
    <r>
      <rPr>
        <sz val="7"/>
        <color rgb="FF36256E"/>
        <rFont val="Times New Roman"/>
        <family val="1"/>
      </rPr>
      <t xml:space="preserve">  </t>
    </r>
    <r>
      <rPr>
        <sz val="9"/>
        <color rgb="FF36256E"/>
        <rFont val="Calibri"/>
        <family val="2"/>
        <scheme val="minor"/>
      </rPr>
      <t>Informar/consultar sobre temas como el desempeño del precio de las acciones,  desempeño financiero y operativo,  solidez del balance,  reservas y  recursos,  desempeño ESG,  crecimiento de la compañía,  regulaciones y permisos gubernamentales, y  fusiones, adquisiciones y desinversiones.</t>
    </r>
  </si>
  <si>
    <r>
      <t>-</t>
    </r>
    <r>
      <rPr>
        <sz val="7"/>
        <color rgb="FF36256E"/>
        <rFont val="Times New Roman"/>
        <family val="1"/>
      </rPr>
      <t xml:space="preserve">  </t>
    </r>
    <r>
      <rPr>
        <sz val="9"/>
        <color rgb="FF36256E"/>
        <rFont val="Calibri"/>
        <family val="2"/>
        <scheme val="minor"/>
      </rPr>
      <t>Informar sobre cuestiones como los términos y condiciones de los contratos, trabajadores y condiciones de trabajo, y oportunidades de negocio.</t>
    </r>
  </si>
  <si>
    <t>Tipo de participación</t>
  </si>
  <si>
    <t xml:space="preserve">Ejemplos </t>
  </si>
  <si>
    <t>Información, consulta</t>
  </si>
  <si>
    <t>Consulta</t>
  </si>
  <si>
    <t>Información, consulta, colaboración</t>
  </si>
  <si>
    <t>Información, consulta, participación</t>
  </si>
  <si>
    <t>Información, participación</t>
  </si>
  <si>
    <t>Participación directa a nivel del sitio</t>
  </si>
  <si>
    <t>Participación directa a nivel corporativo, como:
- Términos de acuerdos
- Informes anuales y trimestrales
- Documentos reglamentarios
- Reuniones y comunicaciones periódicas por teléfono, correo electrónico, conferencias telefónicas y sitio web</t>
  </si>
  <si>
    <t>Participación directa a nivel corporativo</t>
  </si>
  <si>
    <t>Trimestral</t>
  </si>
  <si>
    <t xml:space="preserve"> Trimestral</t>
  </si>
  <si>
    <t xml:space="preserve">Anual </t>
  </si>
  <si>
    <t>En curso</t>
  </si>
  <si>
    <t xml:space="preserve"> En curso</t>
  </si>
  <si>
    <t>Participación directa e indirecta a nivel de sitio, como:
- Comisión Mixta
- Negociaciones con los sindicatos 
- Programas de capacitación
- Recorridos con la gerencia
-  Boletines, tableros públicos, boletines</t>
  </si>
  <si>
    <t>Participación directa a nivel corporativo, como:
- - Documentos reglamentarios
- Respuestas a las solicitudes de información
- Visitas a sitios e inspecciones
- Reuniones y comunicaciones personales</t>
  </si>
  <si>
    <t>Participación directa e indirecta (a través de los representantes territoriales) a nivel de sitio, utilizando el idioma local</t>
  </si>
  <si>
    <t xml:space="preserve">Participación directa e indirecta en el sitio, como:
- Consultas públicas, evaluaciones de impacto ambiental y social
- Mecanismos de queja y reclamación
- Comisiones territoriales de minería artesanal y de pequeña escala
- Reuniones presenciales
- Reuniones periódicas con autoridades y líderes comunitarios
- Eventos culturales y deportivos locales  
- Programas socioeconómicos
- Periódicos, radio, televisión, boletines informativos
</t>
  </si>
  <si>
    <t xml:space="preserve">Participación directa e indirecta a nivel corporativo, como:
- Notas de prensa
- Entrevistas
- Documentos reglamentarias
- Presentaciones y publicaciones
- Sitio web y canales de medios sociales, comunicación por correo electrónico/teléfono
</t>
  </si>
  <si>
    <t xml:space="preserve">Participación directa a nivel corporativo, como:
- Participación activa como miembros y en juntas directivas u otras tareas de liderazgo
- Iniciativas en el sector
- Reuniones y comunicaciones personales
</t>
  </si>
  <si>
    <t xml:space="preserve">Participación directa e indirecta a nivel corporativo, como:
- Asamblea General de Accionistas y conferencias telefónicas
- Informes anuales y trimestrales
- Documentos reglamentarios
- Notas de prensa y documentos normativos de la TSX
- Sitio web y canales de redes sociales, consultas por correo electrónico y teléfono
</t>
  </si>
  <si>
    <t xml:space="preserve">Participación directa e indirecta a nivel corporativo y de sitio, como:
- Negociaciones contractuales
- Términos y condiciones generales para los proveedores
- Políticas y estándares 
- Participación en programas de capacitación 
- Reuniones y comunicaciones personales
</t>
  </si>
  <si>
    <t xml:space="preserve">Tabla 6. Lista de temas materiales </t>
  </si>
  <si>
    <t>Temas relevantes según su importancia</t>
  </si>
  <si>
    <t>Subtemas relevantes</t>
  </si>
  <si>
    <t>Salud y Seguridad</t>
  </si>
  <si>
    <t>Derechos de las Comunidades y Pueblos Indígenas</t>
  </si>
  <si>
    <t>Agua y Efluentes</t>
  </si>
  <si>
    <t>Adquisición de tierras y Reasentamiento</t>
  </si>
  <si>
    <t>Minería Artesanal y de Pequeña Escala</t>
  </si>
  <si>
    <t>Adquisiciones Responsables</t>
  </si>
  <si>
    <t>Gobernanza Corporativa y Ética de Negocios</t>
  </si>
  <si>
    <t>Prácticas de Seguridad Física</t>
  </si>
  <si>
    <t>Gestión Ambiental</t>
  </si>
  <si>
    <t xml:space="preserve">Biodiversidad </t>
  </si>
  <si>
    <t>Salud y seguridad en el trabajo
- Accidentes de transporte y tráfico
- Preparación para emergencias
- Gestión de la COVID-19</t>
  </si>
  <si>
    <t xml:space="preserve">Impactos en las comunidades locales
- Derechos de los Pueblos Indígenas
- Participación comunitaria 
</t>
  </si>
  <si>
    <t>Calidad y uso el agua
Vertidos</t>
  </si>
  <si>
    <t xml:space="preserve">Adquisición de tierras
Reasentamiento </t>
  </si>
  <si>
    <t>Manejo de residuos
Materiales peligrosos y no peligrosos (incluyendo cianuro y colas)</t>
  </si>
  <si>
    <t>Prácticas de adquisición
Riesgo de los proveedores y debida diligencia</t>
  </si>
  <si>
    <t>Gobernanza corporativa Ética empresarial y cumplimiento  Soborno y corrupción</t>
  </si>
  <si>
    <t>Derechos humanos y prácticas de seguridad</t>
  </si>
  <si>
    <t>Empleo y prácticas laborales
Libertad de asociación
Capacitación y educación
No discriminación
Trabajo infantil
Trabajo forzado u obligatorio
Diversity and inclusion Diversidad e inclusión</t>
  </si>
  <si>
    <t xml:space="preserve"> Gestión y cumplimiento ambientales</t>
  </si>
  <si>
    <t>Gestión de la biodiversidad
Gestión forestal
Cierre de minas y planificación del uso del suelo</t>
  </si>
  <si>
    <t>Uso de energía
Emisiones de gases de efecto invernadero</t>
  </si>
  <si>
    <t>Contenido local (p. ej., empleo local y compras locales)
Inversiones para el desarrollo de la comunidad
Impactos económicos indirectos</t>
  </si>
  <si>
    <t>Nota: Los cambios a partir de 2020 incluyen
- We have grouped significant impacts into material topics that relate to our business activity and align with the GRI Topic Standards and the Sector Standards for Mining and Metals. Hemos agrupado impactos los significativos en temas materiales relacionados con nuestra actividad empresarial y alineados con los Estándares Temáticos GRI y los Estándares Sectoriales de Minería y Metales.
-  En nuestros temas materiales hemos incluido algunos temas relevantes como subtemas. Aunque estos temas no son materiales para Calibre, son relevantes para nosotros por nuestros compromisos con la industria.
-  Los derechos humanos ya no son un tema material independiente. Dado que las cuestiones de derechos humanos están presentes en todos los temas importantes, las cuestiones de derechos humanos y/o los riesgos específicos de derechos humanos se cubren en la información de cada tema material. 
- Las prácticas de seguridad física son ahora un tema material independiente.
Temas como la Transparencia Fiscal, el Fortalecimiento Institucional y los Asuntos Externos se han identificado como temas materiales en nuestra estrategia de sostenibilidad pero no se incluyen en este documento, ya que no alcanzan el umbral establecido ser informados.</t>
  </si>
  <si>
    <t xml:space="preserve">SECCIÓN DEL INFORME </t>
  </si>
  <si>
    <t xml:space="preserve">Tabla 1. Metas 2021 </t>
  </si>
  <si>
    <t xml:space="preserve">Sí </t>
  </si>
  <si>
    <t xml:space="preserve"> Sí </t>
  </si>
  <si>
    <t xml:space="preserve">Pavón </t>
  </si>
  <si>
    <t xml:space="preserve">Tabla 65. Número (y porcentaje) de sitios de operación de la compañía donde existe MAPE, adyacente al sitio de operación, los riesgos conexos y las acciones tomadas para gestionar y mitigar estos riesgos </t>
  </si>
  <si>
    <t>Sitio</t>
  </si>
  <si>
    <t>¿MAPE presente?</t>
  </si>
  <si>
    <t xml:space="preserve">Riesgos conexos </t>
  </si>
  <si>
    <t>Acciones tomadas</t>
  </si>
  <si>
    <t>Monitoreo e información periódicos a las autoridades gubernamentales pertinentes</t>
  </si>
  <si>
    <r>
      <t>-</t>
    </r>
    <r>
      <rPr>
        <sz val="7"/>
        <color rgb="FF36256E"/>
        <rFont val="Times New Roman"/>
        <family val="1"/>
      </rPr>
      <t xml:space="preserve"> </t>
    </r>
    <r>
      <rPr>
        <sz val="9"/>
        <color rgb="FF36256E"/>
        <rFont val="Calibri"/>
        <family val="2"/>
        <scheme val="minor"/>
      </rPr>
      <t>Monitoreo y presentación de informes periódicos a las autoridades gubernamentales pertinentes 
- Relacionamiento participativo permanente con las cooperativas de MAPE.
- Protocolos de seguridad física para entrada ilegal de MAPE en las propiedades de Calibre.
- Censo de la minería artesanal.</t>
    </r>
  </si>
  <si>
    <t>N/A, concesiones en proceso de solicitud</t>
  </si>
  <si>
    <t xml:space="preserve"># trabajadores MAPE </t>
  </si>
  <si>
    <r>
      <t>-</t>
    </r>
    <r>
      <rPr>
        <sz val="7"/>
        <color rgb="FF36256E"/>
        <rFont val="Times New Roman"/>
        <family val="1"/>
      </rPr>
      <t>   C</t>
    </r>
    <r>
      <rPr>
        <sz val="9"/>
        <color rgb="FF36256E"/>
        <rFont val="Calibri"/>
        <family val="2"/>
        <scheme val="minor"/>
      </rPr>
      <t>ontaminación por mercurio
-Vertido de colas en los sistemas fluviales Control de sedimentos 
-Salud y seguridad n el trabajo 
- Subempleo/trabajo informal
-Trabajo infantil</t>
    </r>
  </si>
  <si>
    <r>
      <t>-</t>
    </r>
    <r>
      <rPr>
        <sz val="7"/>
        <color rgb="FF36256E"/>
        <rFont val="Times New Roman"/>
        <family val="1"/>
      </rPr>
      <t> C</t>
    </r>
    <r>
      <rPr>
        <sz val="9"/>
        <color rgb="FF36256E"/>
        <rFont val="Calibri"/>
        <family val="2"/>
        <scheme val="minor"/>
      </rPr>
      <t>ontaminación por mercurio
- Vertido de colas en los sistemas fluviales
- Control de sedimentos 
- Salud y seguridad en el trabajo - Subempleo/ trabajo informal
-Trabajo infantil
-Acceso a la tierra
-Conflicto con los equipos de seguridad física
-Tala de árboles y daños a la fauna local
-	años a la infraestructura vial</t>
    </r>
  </si>
  <si>
    <t>- Identificación de zonas exclusivas para la práctica de minería  artesanal y de pequeña escala.
- Promoción de la asistencia técnica (capacitación en exploración, seguridad, protección del medio ambiente, sensibilización sobre la erradicación del trabajo infantil, entre otros).
- Promoción de relaciones armoniosas y de trabajo entre mineros artesanales, concesionarios, inversionistas, propietarios, etc.
-  Comisión Municipal de Minería Artesanal, integrada por el Ministerio de Energía y Minas, Ministerio del Ambiente y los Recursos Naturales, Alcaldes Municipales, Policía Nacional, Ejército de Nicaragua, Secretarios Políticos, cooperativas mineras y concesionarios mineros independientes, para discutir y resolver los problemas relacionados con la minería a nivel territorial.</t>
  </si>
  <si>
    <r>
      <t>-</t>
    </r>
    <r>
      <rPr>
        <sz val="7"/>
        <color rgb="FF36256E"/>
        <rFont val="Times New Roman"/>
        <family val="1"/>
      </rPr>
      <t xml:space="preserve">   </t>
    </r>
    <r>
      <rPr>
        <sz val="9"/>
        <color rgb="FF36256E"/>
        <rFont val="Calibri"/>
        <family val="2"/>
        <scheme val="minor"/>
      </rPr>
      <t>Contaminacion por mercurio 
- Vertido de residuos en los sistemas fluviales
- Control de sedimentos 
- Salud y seguridad en el trabajo 
- Subempleo/ trabajo informal
-Trabajo infantil
-Acceso a la tierra
-Conflicto con los equipos de seguridad
-Conflictos por la tenencia de las tierras indígenas 
-Tala de árboles y daños a la fauna local</t>
    </r>
  </si>
  <si>
    <t>-Contaminación por mercurio
-Vertido de residuos en los sistemas fluviales
-Control de sedimentos
-Salud y seguridad en el trabajo
-Subempleo/ trabajo informal
-Trabajo infantil
-Acceso a la tierra
- Conflicto con los equipos de seguridad física
-Conflicto por la tenencia de las tierras indígenas 
-Tala de árboles y daños a la fauna local</t>
  </si>
  <si>
    <t xml:space="preserve">Tabla 66. Proporción de masas de agua de buena calidad </t>
  </si>
  <si>
    <t>A través de nuestro programa de compra de mineral de la minería artesanal, en el que Calibre compra mineral a mineros artesanales formalizados dentro de nuestras concesiones y lo procesa en nuestro molino de La Libertad, hemos contribuido a mejorar la calidad del agua al reducir la contaminación del procesamiento tradicional del mineral por la MAPE -1.85 toneladas de mercurio y más de 80,000 metros cúbicos de aguas residuales sin tratar- en las cuencas de los ríos Grande de Matagalpa y Prinzapolka.</t>
  </si>
  <si>
    <t xml:space="preserve">Mercurio (Hg) estimado y contaminación de aguas residuales no tratadas proveniente de molinos artesanales evitados gracias al procesamiento de mineral de Calibre </t>
  </si>
  <si>
    <t>Sitio de origen</t>
  </si>
  <si>
    <t>Mineral Comprado (toneladas)</t>
  </si>
  <si>
    <t>Hg (onzas) / tonelada de mineral (1)</t>
  </si>
  <si>
    <t>Total Hg (onzas)</t>
  </si>
  <si>
    <t>Total Hg (toneladas)</t>
  </si>
  <si>
    <t>Nota:
(1) Un estudio de 2016 del Consejo del Oro Artesanal sobre el uso y la liberación de mercurio por la MAPE en Nicaragua estimó que se utilizan aproximadamente 3.5 onzas de mercurio por tonelada métrica de mineral procesado en los molinos artesanales, y que a una capacidad promedio mínima, ~1 L/minuto, o ~3600 L de agua por día (4.32m3/tonelada métrica) son utilizados por las rastras en Chontales, el distrito donde se encuentra la mina La Libertad.</t>
  </si>
  <si>
    <t>(ODS 6.3.2)</t>
  </si>
  <si>
    <t>(Suplemento GRI del Sector de Minería y Metales MM8)</t>
  </si>
  <si>
    <t>(Suplemento GRI del Sector de Minería y Metales MM1)</t>
  </si>
  <si>
    <t>(Suplemento GRI del Sector de Minería y Metales MM2)</t>
  </si>
  <si>
    <t>(Suplemento GRI del Sector de Minería y Metales MM10)</t>
  </si>
  <si>
    <t>Tabla 27. Impactos significativos de las actividades, productos y servicios sobre la biodiversidad</t>
  </si>
  <si>
    <t>Conversión del hábitat</t>
  </si>
  <si>
    <t>Construcción de mina
Conversión del hábitat</t>
  </si>
  <si>
    <t>Ninguno</t>
  </si>
  <si>
    <t xml:space="preserve">Site </t>
  </si>
  <si>
    <t>Naturaleza del impacto</t>
  </si>
  <si>
    <t>Tipo de impacto</t>
  </si>
  <si>
    <t>Especies afectadas</t>
  </si>
  <si>
    <t>Tamaño del área en km2</t>
  </si>
  <si>
    <t>Duración</t>
  </si>
  <si>
    <t>¿Reversible?</t>
  </si>
  <si>
    <t>Sí</t>
  </si>
  <si>
    <t>Mediano plazo</t>
  </si>
  <si>
    <t xml:space="preserve"> Directo</t>
  </si>
  <si>
    <t>Reptiles y aves</t>
  </si>
  <si>
    <t>Mamíferos, reptiles y aves</t>
  </si>
  <si>
    <t>Tabla 28. Hábitats protegidos o restaurados (1)</t>
  </si>
  <si>
    <t>Tamaño de hábitat protegido (1) en km2</t>
  </si>
  <si>
    <t>Ubicación geográfica de hábitat protegido</t>
  </si>
  <si>
    <t>Tamaño del hábitat restaurado en Km2</t>
  </si>
  <si>
    <t>Ubicación geográfica del hábitat restaurado</t>
  </si>
  <si>
    <t xml:space="preserve">Restauración sujeta a Inspección Independiente / Auditoría?
</t>
  </si>
  <si>
    <t>¿Asociación con terceros?</t>
  </si>
  <si>
    <t>Estado de la zona</t>
  </si>
  <si>
    <t>Buen estado de conservación</t>
  </si>
  <si>
    <t xml:space="preserve">Nota: 
(1) Se refiere a las áreas  restauradas o protegidas voluntariamente por Calibre para la conservación de la biodiversidad. No relacionadoas con áreas recuperadas después de ser alteradas. 153/350  </t>
  </si>
  <si>
    <t xml:space="preserve">Tabla 29. Cantidad de tierra en propiedad o arrendada, y manejada para actividads de producción o uso extractivo, alterada o rehabilitada </t>
  </si>
  <si>
    <r>
      <t>Sitio</t>
    </r>
    <r>
      <rPr>
        <sz val="8"/>
        <color theme="0"/>
        <rFont val="Calibri"/>
        <family val="2"/>
        <scheme val="minor"/>
      </rPr>
      <t>  </t>
    </r>
  </si>
  <si>
    <t>Cantidd total de suelo alterado al inicio del período de informe (saldo de apertura) - km2</t>
  </si>
  <si>
    <t>Nuevo suelo alterado durante  durante 2021 - Km2</t>
  </si>
  <si>
    <t xml:space="preserve">Rehabilitación lograda (para el uso final acordado) durante el periodo de informe  - Km2 (1) 
</t>
  </si>
  <si>
    <t>Total de suelo alterado todavía no rehabilitado para el uso final acordado al término del periodo de informe (saldo de cierre)  - km2</t>
  </si>
  <si>
    <t>Note:
(1) Se refiere a las áreas que están en proceso de cierre pero que no se consideran totalmente restauradas para ser clasificadas como "hábitat restaurado".</t>
  </si>
  <si>
    <t>Tabla 30. Número/ porcentaje total de sitios identificados como necesitados de planes de gestión de la biodiversidad acordes con los criterios definidos, y número (porcentaje) de sitios con planes implantados</t>
  </si>
  <si>
    <t xml:space="preserve"> Sitio </t>
  </si>
  <si>
    <t>¿Sitio evaluado bajo los criterios como necesitado de un Plan de Gestión de la Biodiversiad (BMP)?</t>
  </si>
  <si>
    <t xml:space="preserve">Criterios utilizados para decidir que se requiere un BMP
</t>
  </si>
  <si>
    <t>¿Sitio que requiere BMP?</t>
  </si>
  <si>
    <t>¿BMP implantado?</t>
  </si>
  <si>
    <t>¿BMP Operativo?</t>
  </si>
  <si>
    <t>S</t>
  </si>
  <si>
    <t>Según lo dispuesto en el Estándar de Biodiversidad de Calibre:   Si la gestión y protección de la biodiversidad se identificó como un riesgo ambiental potencial o real durante los estudios originales de impacto ambiental o de línea base o se ha identificado desde entonces como un riesgo durante las operaciones, entonces estos sitios deberán formular implementar, comunicar, adherirse y mantener un Plan de Gestión de la Biodiversidad.</t>
  </si>
  <si>
    <t xml:space="preserve">Tabla 31. Número y porcentaje de operaciones con planes de cierre </t>
  </si>
  <si>
    <t>Sitio/Proyecto</t>
  </si>
  <si>
    <t>Operaciones en curso</t>
  </si>
  <si>
    <t>¿Tienen planes de cierre las operaciones? (1)</t>
  </si>
  <si>
    <t>¿Provisiones para el cierre?</t>
  </si>
  <si>
    <t>Molino La Libertad 
Mina Jabalí UG 
Mina Pavón Norte OP</t>
  </si>
  <si>
    <t>Nota:
(1) Se refiere a los planes de cierre ambiental exigidos por la legislación nacional.</t>
  </si>
  <si>
    <t xml:space="preserve">Molino El Limón
Mina El Limón Central OP 
Mina Santa Pancha UG 
Mina Panteón UG 
Mina Veta Nueva UG </t>
  </si>
  <si>
    <t>Si la respuesta es Sí,  remítase al Estado Financiero</t>
  </si>
  <si>
    <t xml:space="preserve">
Provisión para Restauración de Minas, Estados Financieros Anuales Consolidados Años Terminados el 31 de diciembre de 2021 y 2020 disponible en nuestro sitio web en www.calibremining.com y nuestro perfil SEDAR en www.sedar.com
</t>
  </si>
  <si>
    <t>Nota:
(1) Se refiere a las áreas alteradas por nuestras operaciones.</t>
  </si>
  <si>
    <t>Tabla 32. Consumo de energía de la organización (Gigajoules)</t>
  </si>
  <si>
    <t>Energía directa consumida por fuente</t>
  </si>
  <si>
    <t>Directa no renovable</t>
  </si>
  <si>
    <t>Diésel</t>
  </si>
  <si>
    <t>Aceite usado</t>
  </si>
  <si>
    <t>Gasolina</t>
  </si>
  <si>
    <t xml:space="preserve">Gas natural </t>
  </si>
  <si>
    <t>Gas propano</t>
  </si>
  <si>
    <t>Combustible pesado</t>
  </si>
  <si>
    <t>Combustible de aviación</t>
  </si>
  <si>
    <t xml:space="preserve">Directa renovable </t>
  </si>
  <si>
    <t>Energía hidroeléctrica</t>
  </si>
  <si>
    <t>Eólica</t>
  </si>
  <si>
    <t>Biodiésel</t>
  </si>
  <si>
    <t>Consumo total de energía directa</t>
  </si>
  <si>
    <t>Energía indirecta consumida por  fuente</t>
  </si>
  <si>
    <t>Electricidad de la red, procedente de fuentes renovables</t>
  </si>
  <si>
    <t>Electricidad de la red, procedente de fuentes no renovables</t>
  </si>
  <si>
    <t>Consumo total de energía indirecta</t>
  </si>
  <si>
    <t>Consumo de energía total (directa e indirecta)</t>
  </si>
  <si>
    <t xml:space="preserve">Tabla 33. Intensidad energética </t>
  </si>
  <si>
    <t xml:space="preserve"> Ratio de intensidad energética (GJ/oz)(1)</t>
  </si>
  <si>
    <r>
      <t xml:space="preserve">Nota:
</t>
    </r>
    <r>
      <rPr>
        <sz val="9"/>
        <color rgb="FF36256E"/>
        <rFont val="Calibri"/>
        <family val="2"/>
        <scheme val="minor"/>
      </rPr>
      <t>(1)   Tipos de energía incluidos: GLP, diésel y electricidad"</t>
    </r>
  </si>
  <si>
    <t>Tabla 34. Intensidad de las emisiones de GEI (Alcances 1&amp;2) - toneladas métricas de CO2e por tonelada de mineral procesado</t>
  </si>
  <si>
    <t>Alcance 1 (tCO2e)</t>
  </si>
  <si>
    <t>Alcance 2 (tCO2e)</t>
  </si>
  <si>
    <t xml:space="preserve"> % del total anual de CO2e</t>
  </si>
  <si>
    <t>Onzas de oro producidas (oz)</t>
  </si>
  <si>
    <t>Intensidad de las emisiones de GEI (tCO2e/oz Au producido)</t>
  </si>
  <si>
    <t xml:space="preserve"> Fecha </t>
  </si>
  <si>
    <t xml:space="preserve">Proyecto </t>
  </si>
  <si>
    <t xml:space="preserve">Ubicación </t>
  </si>
  <si>
    <t># de Participantes</t>
  </si>
  <si>
    <t>Resultado</t>
  </si>
  <si>
    <t>Permiso concedido</t>
  </si>
  <si>
    <t>27 agosto, 2021</t>
  </si>
  <si>
    <t>5 noviembre, 2021</t>
  </si>
  <si>
    <t>30 abril, 2021</t>
  </si>
  <si>
    <t xml:space="preserve">Proyecto de exploración Amalia – </t>
  </si>
  <si>
    <t xml:space="preserve">Proyecto de exploración Las Brisas </t>
  </si>
  <si>
    <t xml:space="preserve">Ampliación Presa de Colas (PDC) San José </t>
  </si>
  <si>
    <t>Malpaisillo, León</t>
  </si>
  <si>
    <t>Tabla 51. Consultas públicas celebradas</t>
  </si>
  <si>
    <t xml:space="preserve">Tabla 52. Operaciones con programas de participación de la comunidad local, evaluaciones del impacto y desarrollo </t>
  </si>
  <si>
    <t>¿Tiene la operación planes de participación de la comunidad local? ¿Se basan en el mapeo SH?</t>
  </si>
  <si>
    <t>¿EIA realizada? Año de la última EIA</t>
  </si>
  <si>
    <t>¿Tiene la operación programas de desarrollo?</t>
  </si>
  <si>
    <t xml:space="preserve">¿Participa el sitio en comités de empresa, comités de salud y seguridad en el trabajo y otros organsimos de representación de los trabajadores para tratar los impactos sociales? </t>
  </si>
  <si>
    <t>¿Tiene la operación procesos formales de queja y reclamación en la comunidad local?</t>
  </si>
  <si>
    <t>¿Participa el sitio en comités de consulta amplios con las comunidades locales que incluyen grupos vulnerables?</t>
  </si>
  <si>
    <t>Proyecto Eastern Borosi  (EBP)</t>
  </si>
  <si>
    <t>No, en construcción.</t>
  </si>
  <si>
    <t>Sí. 2021.</t>
  </si>
  <si>
    <t>No, la participación se centró en los propietarios de tierras a fin de asegurar su aprobación para hacer actividades de exploración en sus tierras.</t>
  </si>
  <si>
    <t xml:space="preserve">Tabla 53. Operaciones con impactos negativos significativos -reales o potenciales- en las comunidades locales </t>
  </si>
  <si>
    <t>Ítems</t>
  </si>
  <si>
    <t xml:space="preserve">Proyecto Eastern Borosi </t>
  </si>
  <si>
    <t>Ubicación (Municipio)</t>
  </si>
  <si>
    <t xml:space="preserve">Principales impactos negativos reales o potenciales en las comunidades locales
</t>
  </si>
  <si>
    <t xml:space="preserve">- Contaminación atmosférica
- Fallecimientos y lesiones graves en la comunidad
- Problemas de salud de la comunidad
- Daños a los medios de vida locales
- Desplazamiento forzado
- Pérdida de acceso al agua
- Pérdida de vida silvestre
- Contaminación del agua </t>
  </si>
  <si>
    <r>
      <t>-</t>
    </r>
    <r>
      <rPr>
        <sz val="9"/>
        <color rgb="FF36256E"/>
        <rFont val="Times New Roman"/>
        <family val="1"/>
      </rPr>
      <t> </t>
    </r>
    <r>
      <rPr>
        <sz val="9"/>
        <color rgb="FF36256E"/>
        <rFont val="Calibri"/>
        <family val="2"/>
        <scheme val="minor"/>
      </rPr>
      <t>Abusos de las fuerzas de seguridad física
- Contaminación atmosférica
- Fallecimientos y lesiones graves en la comunidad
- Problemas de salud de la comunidad
- Daños a los medios de vida locales
- Desplazamiento forzado
- Pérdida de vida silvestre
- Contaminación del agua</t>
    </r>
  </si>
  <si>
    <r>
      <t>-</t>
    </r>
    <r>
      <rPr>
        <sz val="9"/>
        <color rgb="FF36256E"/>
        <rFont val="Times New Roman"/>
        <family val="1"/>
      </rPr>
      <t> </t>
    </r>
    <r>
      <rPr>
        <sz val="9"/>
        <color rgb="FF36256E"/>
        <rFont val="Calibri"/>
        <family val="2"/>
        <scheme val="minor"/>
      </rPr>
      <t>Abusos por parte de las fuerzas de seguridad física
- Violaciones de los derechos de los Pueblos Indígenas
- Contaminación del agua</t>
    </r>
  </si>
  <si>
    <t>Violaciones de los derechos de los Pueblos Indígenas</t>
  </si>
  <si>
    <t xml:space="preserve">Tabla 54. Número total de operaciones que tienen lugar en territorios de Pueblos Indígenas o adyacentes a ellos, y el número y porcentaje de operacioneso sitios donde existen acuerdod formales con comunidades de Pueblos Indígenas </t>
  </si>
  <si>
    <t>¿Acuerdos formales (2) con comunidades de Pueblos Indígenas?</t>
  </si>
  <si>
    <t>¿Adyacente (1) a Territorios Indígenas?</t>
  </si>
  <si>
    <t>1 operación en territorios indígenas o adyacente; de los cuales 1 sitio (100%) con acuerdo formal</t>
  </si>
  <si>
    <t xml:space="preserve">Descripción de acuerdos </t>
  </si>
  <si>
    <t>(Suplemento GRI del Sector de Minería y Metales MM5)</t>
  </si>
  <si>
    <t xml:space="preserve">Formato de consentimiento para la ejecución del proyecto dentro de territorio indígena </t>
  </si>
  <si>
    <t>Notas:
(1) Adyacente se refiere a tierras físicamente contiguas al lugar del sitio de operación, o sobre las cuales la operación tienen influencia.
(2) Los acuerdos formales se refieren a acuerdos escritos o de otro tipo que son reconocidos por los líderes designados de la comunidad (por ejemplo, acuerdos formales de beneficios o planes de desarrollo comunitario).</t>
  </si>
  <si>
    <t>(Suplemento GRI del Sector de Minería y Metales MM6)</t>
  </si>
  <si>
    <t>(Suplemento GRI del Sector de Minería y Metales MM7)</t>
  </si>
  <si>
    <t>(ODS 16.3.3)</t>
  </si>
  <si>
    <t>Tipo de controversias</t>
  </si>
  <si>
    <t xml:space="preserve">Tabla 55. Número y descripción de controversias(1) significativas relacionadas con el uso de la tierra, los derechos consuetudinarios de las comunidades locales y los Pueblos Indígenas </t>
  </si>
  <si>
    <t xml:space="preserve">Sitio </t>
  </si>
  <si>
    <t>Proyecto</t>
  </si>
  <si>
    <t>Descripción / Naturaleza</t>
  </si>
  <si>
    <t>Fecha</t>
  </si>
  <si>
    <t>Adquisición de tierras</t>
  </si>
  <si>
    <t>Negociaciones sobre reasentamiento</t>
  </si>
  <si>
    <t>Proyecto Oro-Plata Eastern Borosi (EBP)</t>
  </si>
  <si>
    <t>Uso de la tierra</t>
  </si>
  <si>
    <t>Otros usos de los recursos</t>
  </si>
  <si>
    <t xml:space="preserve">Tabla 56. Medida en que se utilizaron mecanismos de quejas y reclamaciones para solucionar controversias relacionadas con el uso de la tierra, los derechos consuetudinarios de las comunidades locales y los Pueblos Indígenas, y los resultados </t>
  </si>
  <si>
    <t>Naturaleza de la controversia</t>
  </si>
  <si>
    <t>Participación de otros actores de interés pertinentes para mediar en el proceso.</t>
  </si>
  <si>
    <t xml:space="preserve">Negociaciones en curso en el marco de compensación del RAP de Jabalí </t>
  </si>
  <si>
    <t xml:space="preserve">Tabla 57. Proporción de la población que se ha visto implicada en alguna controversia en los dos últimos años y ha accedido a algún mecanismo oficial y oficioso de solución de controversias, desglosada por tipo de mecanismo </t>
  </si>
  <si>
    <t xml:space="preserve"> Población est. para 2021 (1)</t>
  </si>
  <si>
    <t># quejas y reclamaciones registrados en 2020</t>
  </si>
  <si>
    <t># de quejas y reclamaciones registrados en 2021</t>
  </si>
  <si>
    <t>Quejas  y reclamaciones registradas en 2020/2021</t>
  </si>
  <si>
    <t>Porcentaje de la población que utiliza el mecanismo comunitario de quejas y reclamaciones de Calibre</t>
  </si>
  <si>
    <t xml:space="preserve">Estado </t>
  </si>
  <si>
    <t>Medidas tomadas</t>
  </si>
  <si>
    <t>¿Uso del Procedimiento de quejas y reclamaciones?</t>
  </si>
  <si>
    <t>Nota: 
(1) Fuente: Mapa Nacional de Salud en Nicaragua. Ministerio de Salud. Disponible en http://mapasalud.minsa.gob.ni/ "</t>
  </si>
  <si>
    <t>Nota: 
(1) Se definen las controversias sociales signigicativas como quejas/reclamaciones que no pueden resoolverse en conjunto dentro de un marco de tiempo razonable y/o requieren considerables recursos financieros  para resolverse.</t>
  </si>
  <si>
    <t>Suplemento GRI del Sector de Minería y Metales MM1</t>
  </si>
  <si>
    <t>Suplemento GRI del Sector de Minería y Metales MM2</t>
  </si>
  <si>
    <t>Suplemento GRI del Sector de Minería y Metales MM10</t>
  </si>
  <si>
    <t xml:space="preserve">Tabla 7. Estructura de gobernanza y composición, diversidad de los órganos de gobernanza </t>
  </si>
  <si>
    <t xml:space="preserve">(GRI 2-9, 405-1) </t>
  </si>
  <si>
    <t>Número de directores</t>
  </si>
  <si>
    <t>Número de miembros independientes</t>
  </si>
  <si>
    <t>Permanencia promedio (años) de los miembros</t>
  </si>
  <si>
    <t>8 años</t>
  </si>
  <si>
    <t>Código de conducta para los directores</t>
  </si>
  <si>
    <t>% de miembros de la Junta Directiva menores de 30 años</t>
  </si>
  <si>
    <t>% de miembros de la Junta Directiva de 30-50 años</t>
  </si>
  <si>
    <t>% de miembros de la Junta Directiva mayores de 50 años</t>
  </si>
  <si>
    <t xml:space="preserve"># de miembros negros, indígenas y de color (BIPOC por sus siglas en inglés) </t>
  </si>
  <si>
    <t xml:space="preserve">Nota: 
La información sobre la composición, las competencias y la experiencia de nuestra Junta Directiva, así como sobre otros cargos de directores, se puede encontrar en nuestra Notificación de Asamblea General Anual y en la Circular Informativa del 5 de enero de 2022, disponible en nuestro sitio web  https://www.calibremining.com/site/assets/files/6803/calibre, o en el perfil de SEDAR de la Compañía en www.sedar.com. </t>
  </si>
  <si>
    <t xml:space="preserve">Tabla 8. Mecanismos para buscar asesoramiento y plantear inquietudes </t>
  </si>
  <si>
    <t xml:space="preserve">Mecanismo </t>
  </si>
  <si>
    <t>¿Cómo se informa a los actores de interés sobre el mecanismo?</t>
  </si>
  <si>
    <t>Usuarios previstos</t>
  </si>
  <si>
    <t>Disponibilidad y accesibilidad</t>
  </si>
  <si>
    <t>¿Disponible en distintos idiomas?</t>
  </si>
  <si>
    <t>¿Independiente?</t>
  </si>
  <si>
    <t>¿Confidencial?</t>
  </si>
  <si>
    <t>¿Anónimo?</t>
  </si>
  <si>
    <t>¿No represalias garantizadas?</t>
  </si>
  <si>
    <t xml:space="preserve"> Sí</t>
  </si>
  <si>
    <t>Inglés y español</t>
  </si>
  <si>
    <t>Español</t>
  </si>
  <si>
    <t>Horario laboral</t>
  </si>
  <si>
    <t>Comunidades locales, incluida la mano de obra local de  contratistas</t>
  </si>
  <si>
    <t>Capacitación periódica y solicitud de acuse de recibo por escrito</t>
  </si>
  <si>
    <t>Asambleas públicas</t>
  </si>
  <si>
    <t>Sindicatos</t>
  </si>
  <si>
    <t xml:space="preserve">Participación comunitaria </t>
  </si>
  <si>
    <t xml:space="preserve">Responsabilidad </t>
  </si>
  <si>
    <t>Comité de Auditoría (Junta Directiva)</t>
  </si>
  <si>
    <t>Recursos humanos</t>
  </si>
  <si>
    <t>Relaciones comunitarias</t>
  </si>
  <si>
    <t>Línea directa de denuncias</t>
  </si>
  <si>
    <t>Procesos de progresión a través de los niveles de gestión</t>
  </si>
  <si>
    <t>Mecanismo de apoyo a las quejas y reclamaciones de los trabajadores - nivel del sitio</t>
  </si>
  <si>
    <t>Mecanismo de quejas y reclamación de la comunidad - nivel del sitio</t>
  </si>
  <si>
    <t>Tabla 9. Operaciones evaluadas en función de los riesgos relacionados con la corrupción</t>
  </si>
  <si>
    <t># total de operaciones</t>
  </si>
  <si>
    <t xml:space="preserve"># operaciones evaluadas </t>
  </si>
  <si>
    <t xml:space="preserve">% de operaciones evaluadas </t>
  </si>
  <si>
    <t>Riesgos significativos identificados</t>
  </si>
  <si>
    <r>
      <t>-</t>
    </r>
    <r>
      <rPr>
        <sz val="7"/>
        <color rgb="FF36256E"/>
        <rFont val="Times New Roman"/>
        <family val="1"/>
      </rPr>
      <t xml:space="preserve">     </t>
    </r>
    <r>
      <rPr>
        <sz val="9"/>
        <color rgb="FF36256E"/>
        <rFont val="Calibri"/>
        <family val="2"/>
        <scheme val="minor"/>
      </rPr>
      <t>Potencial de corrupción relacionada con las relaciones comerciales y los vínculos con los miembros de la comunidad y/o la minería artesanal.
-     Evidencia de lavado de dinero, fraude y restricciones de visado por departamentos de Estados Unidos encontrada durante la investigación de proveedores potenciales y/o familiares de proveedores potenciales.</t>
    </r>
  </si>
  <si>
    <t>Nota:
La operación no evaluada se debió al hecho de que no tenía procesos abiertos de contratación y/o licitación que revisar durante el período de informe.</t>
  </si>
  <si>
    <t xml:space="preserve">Tabla 10. Comunicación y formación sobre políticas y procedimientos anticorrupción
</t>
  </si>
  <si>
    <t xml:space="preserve"># de empleados </t>
  </si>
  <si>
    <t># de empleados a quienes se les hayan comunicado las políticas y procedimientos anti-corrupción (1)</t>
  </si>
  <si>
    <t xml:space="preserve">% de empleados </t>
  </si>
  <si>
    <t># de empleados que han recibido capacitación en anticorrupción (2)</t>
  </si>
  <si>
    <t xml:space="preserve">% de empleados capacitados </t>
  </si>
  <si>
    <t>Notas:
(1) Comunicación de políticas a través de charlas introductorias, correo electrónico y solicitud por escrito de acuse de recibo
(2) Los temas de capacitación incluyeron procedimientos de cumplimiento para  proveedores; procedimientos de cumplimiento para  empleados; e Inducción sobre prevención del lavado de dinero, financiamiento del terrorismo y financiamiento de armas de destrucción masiva
(3) Del 22% restante, el 21% de los empleados recibió comunicación en 2020 y el 1% ha estado de vacaciones o subsidio durante las charlas programadas.  
(4) Los empleados que reciben capacitación detallada sobre procedimientos anticorrupción son los encargados de licitaciones y/o contratación y, por lo tanto, son los responsables de los controles anticorrupción.</t>
  </si>
  <si>
    <t xml:space="preserve">Tabla 11. Incidentes de corrupción confirmados y medidas tomadas </t>
  </si>
  <si>
    <t># de incidentes confirmados de corrupción (1)</t>
  </si>
  <si>
    <t>Naturaleza</t>
  </si>
  <si>
    <t>Evidencia de presunto lavado de dinero por un posible proveedor.</t>
  </si>
  <si>
    <t xml:space="preserve"># de proveedores </t>
  </si>
  <si>
    <t xml:space="preserve"># de socios comerciales a quienes se les hayan comunicado las políticas y procedimientos anti-corrupción </t>
  </si>
  <si>
    <t>¿Contrato(s) con socio(s) comercialesde rescindidos o no renovados?</t>
  </si>
  <si>
    <t>¿Casos jurídicos públicos (2) interpuestos contra la organización o sus empleados?</t>
  </si>
  <si>
    <t xml:space="preserve">Si respuesta es Sí, indicar resultados </t>
  </si>
  <si>
    <t>Notes:
(1) Un incidente confirmado de corrupción es un incidente que ha sido investigado y corroborado. No incluye los incidentes que todavía están siendo investigados en el período de informr (enero - diciembre de 2021).  No se confirmaron incidentes de corrupción relacionados con los empleados.
(2) Los casos jurídicos públicos relacionados con la corrupción pueden incluir investigaciones públicas actuales, enjuiciamientos o casos cerrados.</t>
  </si>
  <si>
    <t>Nota: 
Las políticas se han comunicado a todos los proveedores potenciales y reales durante los procesos de licitación.</t>
  </si>
  <si>
    <t xml:space="preserve">Tabla 14. Descripción de políticas y prácticas de gestión ambiental (EMP por sus siglas en inglés) para sitis activos </t>
  </si>
  <si>
    <t xml:space="preserve">Sitio  </t>
  </si>
  <si>
    <t xml:space="preserve">¿EMP implementadas? </t>
  </si>
  <si>
    <t>Producción</t>
  </si>
  <si>
    <t xml:space="preserve">Exploración </t>
  </si>
  <si>
    <t>Generación de residuos, impacto acústico, emisiones atmosféricas, vertidos al agua, consumo de recursos naturales, uso de productos químicos peligrosos, impacto en la biodiversidad y monitoreo ambiental.</t>
  </si>
  <si>
    <t>Generación de residuos, impacto acústico, emisiones atmosféricas, consumo de recursos naturales, uso de productos químicos peligrosos, impacto en la biodiversidad y monitoreo ambiental.</t>
  </si>
  <si>
    <t>Temas abordados por las EMP</t>
  </si>
  <si>
    <t>Etapa del ciclo de vida</t>
  </si>
  <si>
    <t>Temas</t>
  </si>
  <si>
    <t xml:space="preserve">Tabla 42. Formación de trabajadores (1) sobre salud y seguridad en el trabajo </t>
  </si>
  <si>
    <t>Tipo de capacitación/formación</t>
  </si>
  <si>
    <t># de personas capacitadas en 2020</t>
  </si>
  <si>
    <t># de personas capacitadas en 2021</t>
  </si>
  <si>
    <t>Frecuencia de la capacitación</t>
  </si>
  <si>
    <t>Al menos anualmente</t>
  </si>
  <si>
    <t>Anualmente</t>
  </si>
  <si>
    <t>¿Obligatorio?</t>
  </si>
  <si>
    <t>Sí. Para todos los empleados y contratistas</t>
  </si>
  <si>
    <t>Sí. Para una audiencia focalizada según área de trabajo.</t>
  </si>
  <si>
    <t>Sí. Para una audiencia focalizada según las especificaciones del puesto de trabajo.</t>
  </si>
  <si>
    <t>Duración de la capacitación (horas)</t>
  </si>
  <si>
    <t>Inducciones generales, Identificación de Peligros y Evaluación de Riesgos (IPER), Análisis de Seguridad en el Trabajo (JSA), Primeros Auxilios, Manipulación Manual, Sistema de Cinco Puntos, Residuos Sólidos, Prevención de Incendios, Emergencias, Biodiversidad, Protocolos COVID-19.</t>
  </si>
  <si>
    <t>Bloqueo y etiquetado (LOTO), Trabajo en caliente, Trabajos en altura, Espacios confinados, HCNa, Amasado, Pulido y esmerilado, Oxicorte, Permisos de trabajo, Manejo de equipos ligeros, Manipulación de hidrocarburos, Educación vial, Oxigenoterapia, Uso y manejo del Ciano kit para casos de intoxicación por cianuro.</t>
  </si>
  <si>
    <t>Preparación de cianuro, uso de montacargas, uso de calderas, operación de camiones articulados, uso y manejo de cargadores frontales, hidrociclones, instalación de geomembranas, explosivos.</t>
  </si>
  <si>
    <t xml:space="preserve">Tabla 43. Cobertura del sistema de gestión de la salud y la seguridad en el trabajo </t>
  </si>
  <si>
    <t xml:space="preserve">Trabajadores cubiertos por un Sistema de Gestión de H&amp;S </t>
  </si>
  <si>
    <t># Total de empleados</t>
  </si>
  <si>
    <t># Empleados cubiertos por el Sistema de Gestión de OHS:</t>
  </si>
  <si>
    <t>% Empleados cubiertos por el Sistema de Gestión OHS:</t>
  </si>
  <si>
    <t># Total de trabajadores contratistas:</t>
  </si>
  <si>
    <t># de Trabajadores de contratistas cubiertos por el sistema de gestión de OHS:</t>
  </si>
  <si>
    <t>% de trabajadores de contratistas cubiertos por el Sistema de Gestión de OHS:</t>
  </si>
  <si>
    <t># Total de trabajadores (p. ej., empleados + trabajadores de contratistas)</t>
  </si>
  <si>
    <t># de trabajadores cubiertos por Sistema de Gestión de OHS auditado internamente (1):</t>
  </si>
  <si>
    <t>Nota:
(1) No se hizo ninguna auditoría durante el período de informe.</t>
  </si>
  <si>
    <t xml:space="preserve">Tabla 44. Datos de empleados sobre lesiones por accidente laboral </t>
  </si>
  <si>
    <t># de fallecimientos resultantes de una lesión por accidente laboral</t>
  </si>
  <si>
    <t>Tasa de fallecimientos resultantes de una lesión por accidente laboral</t>
  </si>
  <si>
    <t xml:space="preserve"># de lesiones por accidente laboral con grandes consecuencias </t>
  </si>
  <si>
    <t>Tasa de lesiones por accidente laboral con grandes consecuencias(1)</t>
  </si>
  <si>
    <t xml:space="preserve"># de lesiones por accidente laboral registrables  </t>
  </si>
  <si>
    <t>Tasa de lesiones por accidente laboral registrables (2)</t>
  </si>
  <si>
    <t>Principales tipos de lesiones por accidente laboral</t>
  </si>
  <si>
    <t>Contusión, herida abierta, lesión superficial, esguince y torcedura,  abrasión, quemaduras por agua caliente, excoriación.</t>
  </si>
  <si>
    <r>
      <t>A</t>
    </r>
    <r>
      <rPr>
        <sz val="8"/>
        <color rgb="FF36256E"/>
        <rFont val="Calibri"/>
        <family val="2"/>
        <scheme val="minor"/>
      </rPr>
      <t>mputación</t>
    </r>
  </si>
  <si>
    <t>Fractura, laceración</t>
  </si>
  <si>
    <t>Contusión, herida abierta, lesión superficial, esguince y torcedura,  excoriación</t>
  </si>
  <si>
    <t>% de trabajadores cubiertos por Sistema de Gestión de OHS auditado internamente (1):</t>
  </si>
  <si>
    <t xml:space="preserve">Oficina de Managua </t>
  </si>
  <si>
    <t>Capacitación general</t>
  </si>
  <si>
    <t>Capacitación básica</t>
  </si>
  <si>
    <t>Capacitación sobre riesgos específicos relacionados con el trabajo</t>
  </si>
  <si>
    <t xml:space="preserve">Mina Pavón </t>
  </si>
  <si>
    <t xml:space="preserve">Tabla 45. Datos de contratistas sobre lesiones por accidente laboral </t>
  </si>
  <si>
    <t># de horas trabajadas</t>
  </si>
  <si>
    <t>Fracturas, heridas, quemaduras, amputaciones, etc.</t>
  </si>
  <si>
    <t>Contusiones, esguinces, amputaciones, heridas, atrapamiento.</t>
  </si>
  <si>
    <t xml:space="preserve"> Amputación</t>
  </si>
  <si>
    <t xml:space="preserve">Tabla 46. Lesiones por accidente laboral registrables por tipo de incidente </t>
  </si>
  <si>
    <t xml:space="preserve">Número </t>
  </si>
  <si>
    <t>Tipo(s)</t>
  </si>
  <si>
    <t>Caída de objetos, caída al mismo nivel, contacto contra, golpeado por, atrapamiento.</t>
  </si>
  <si>
    <t>Caída de objetos, contacto contra</t>
  </si>
  <si>
    <t>Aprisonamiento</t>
  </si>
  <si>
    <t xml:space="preserve">Tabla 47. Otros datos pertinentes </t>
  </si>
  <si>
    <t xml:space="preserve"># de incidentes laborales de gran potencial identificados </t>
  </si>
  <si>
    <t xml:space="preserve"># de cuasiaccidentes identificados </t>
  </si>
  <si>
    <t>Caída de rocas grandes, colisión de equipos pesados, caída de rocas en la mina UG, electrocución, mantenimiento deficiente de camiones de acarreo de mineral.</t>
  </si>
  <si>
    <t>Volcamiento de equipo en la carretera, colisión en la carretera, pérdida de control del equipo, pérdida del control del equipo en movimiento</t>
  </si>
  <si>
    <t>Volcamiento de equipos pesados, pérdida de control de equipos en movimiento, Colisión entre equipos pesados, árboles que caen y provocan fracturas</t>
  </si>
  <si>
    <t xml:space="preserve">Tabla 48. Datos de empleados sobre dolencias  y enfermedades laborales </t>
  </si>
  <si>
    <t># de casos de dolencias y enfermedades laborales registrables (1)</t>
  </si>
  <si>
    <t xml:space="preserve"> Principales tipos de dolencias y enfermedades laborales (1)</t>
  </si>
  <si>
    <t># de fallecimientos resultantes de una dolencia o enfermedad laboral</t>
  </si>
  <si>
    <t xml:space="preserve">Tabla 49. Datos de contratistas sobre dolencias y enfermedades laborales </t>
  </si>
  <si>
    <t>Principales tipos de dolencias y enfermedades laborales (1)</t>
  </si>
  <si>
    <t>Nota:
(1) Información no disponible. Datos en construcción.</t>
  </si>
  <si>
    <t>Nota:
(1) Información no disponible. Datos en construcción</t>
  </si>
  <si>
    <t>(ODS 3.6.1)</t>
  </si>
  <si>
    <t xml:space="preserve">Tabla 50. Tasa de mortalidad por lesiones debidas a accidentes de tráfico </t>
  </si>
  <si>
    <t># de fallecimientos debidos a accidentes de tráfico</t>
  </si>
  <si>
    <t>Notas:
(1) Datos de 2020 según el último Anuario Estadístico de la Policía Nacional disponibles en https://www.policia.gob.ni/</t>
  </si>
  <si>
    <t>Fallecimientos en carreteras relacionados con nuestra operación</t>
  </si>
  <si>
    <t xml:space="preserve">Tabla 35. Empleados </t>
  </si>
  <si>
    <t>Empleados por género a finales del año 2021</t>
  </si>
  <si>
    <t>Mujer</t>
  </si>
  <si>
    <t xml:space="preserve">Hombre </t>
  </si>
  <si>
    <t>Otro (1)</t>
  </si>
  <si>
    <t>No informado</t>
  </si>
  <si>
    <t xml:space="preserve">Número de empleados (recuento / FTE -Unidades Equivalentes de Tiempo Completo) </t>
  </si>
  <si>
    <t>Número de empleados fijos (recuento /FTE)</t>
  </si>
  <si>
    <t>Número de empleados temporales (recuento / FTE)</t>
  </si>
  <si>
    <t>Número de empleados por horas no garantizadas (recuento /FTE)</t>
  </si>
  <si>
    <t>Número de empleados a tiempo completo (recuento / FTE)</t>
  </si>
  <si>
    <t>Número de empleados a tiempo parcial (recuento  / FTE)</t>
  </si>
  <si>
    <t xml:space="preserve">Nota:
(1)  Calibre no tiene horas no garantizadas ni empleados a tiempo parcial. </t>
  </si>
  <si>
    <t>Nacional, No local (2)</t>
  </si>
  <si>
    <t>Total Nacional (3)</t>
  </si>
  <si>
    <t>Extranjero</t>
  </si>
  <si>
    <t>Empleados por región a finales del año 2021</t>
  </si>
  <si>
    <t>Número de empleados (recuento personal/ FTE)</t>
  </si>
  <si>
    <t>Número de empleados fijos (recuento / FTE)</t>
  </si>
  <si>
    <t>Número de empleados permanentes (recuento / FTE)</t>
  </si>
  <si>
    <t>Número de empleados por horas no garantizadas (recuento / FTE)</t>
  </si>
  <si>
    <t>Número de empleados a tiempo parcial (recuento / FTE)</t>
  </si>
  <si>
    <t>Notas: 
(1) Local se define como las personas de las comunidades adyacentes o cercanas a nuestras operaciones.
(2) Nacional, no local se define como nicaragüenses que no son de comunidades adyacentes o cercanas a nuestras operaciones.
(3) Nacionales se define como la suma de nicaragüenses locales y no locales.</t>
  </si>
  <si>
    <t>Tabla 36. Trabajadores que no son empleados (contratistas)</t>
  </si>
  <si>
    <t>Trabajadores por género a finales del año 2021</t>
  </si>
  <si>
    <t>Mujeres</t>
  </si>
  <si>
    <t>Hombres</t>
  </si>
  <si>
    <t>Trabajadores por origen a finales del año 2021</t>
  </si>
  <si>
    <t>Nicaragüense</t>
  </si>
  <si>
    <t xml:space="preserve">Tabla 37. Contrataciones de nuevos empleados y rotación de personal </t>
  </si>
  <si>
    <t>Porcentaje de la población total de empleados</t>
  </si>
  <si>
    <t>Contrataciones de nuevos empleados</t>
  </si>
  <si>
    <t xml:space="preserve">Total de contrataciones de nuevos empleados </t>
  </si>
  <si>
    <t>Total de contrataciones nuevos empleados</t>
  </si>
  <si>
    <t>Por sitio</t>
  </si>
  <si>
    <t xml:space="preserve">Oficinas de Managua </t>
  </si>
  <si>
    <t xml:space="preserve">Por grupo etáreo </t>
  </si>
  <si>
    <t>30 a 50</t>
  </si>
  <si>
    <t>Por género</t>
  </si>
  <si>
    <t xml:space="preserve">Hombres </t>
  </si>
  <si>
    <t>Por región</t>
  </si>
  <si>
    <t>Nacional - Local (1)</t>
  </si>
  <si>
    <t>Nacional - No local (2)</t>
  </si>
  <si>
    <t>Nota: No se ha informado ningún otro género</t>
  </si>
  <si>
    <t xml:space="preserve">Notas:
(1) Local se define como las personas de las comunidades adyacentes o cercanas a nuestras operaciones.
(2) Nacional, no local se define como nicaragüenses que no son de comunidades adyacentes o cercanas a nuestras operaciones. </t>
  </si>
  <si>
    <t>Rotación por grupos etáreos</t>
  </si>
  <si>
    <t>Rotación voluntaria</t>
  </si>
  <si>
    <t>Tasa de rotación (%) (1)</t>
  </si>
  <si>
    <t>Rotación involuntaria</t>
  </si>
  <si>
    <t>Turnover Rate (%) (1) Tasa de rotación (%) (1)</t>
  </si>
  <si>
    <t>Total Turnover Rate (%) (1) Tasa de rotación total (%) (1)</t>
  </si>
  <si>
    <t>Tasa de rotación total (%) (1)</t>
  </si>
  <si>
    <t xml:space="preserve">Rotación voluntaria	</t>
  </si>
  <si>
    <t>Notes:
(1) Tasa de rotación calculada teniendo en cuenta únicamente a los trabajadores fijos y % calculado en relación con el número promedio de trabajadores fijos durante 2021 (p. ej., 1132)</t>
  </si>
  <si>
    <t>Rotación por sexo</t>
  </si>
  <si>
    <t xml:space="preserve">Mujeres </t>
  </si>
  <si>
    <t>Notes:
(1)  Tasa de rotación calculada teniendo en cuenta únicamente a los trabajadores fijos y % calculado en relación con el número promedio de trabajadores fijos durante 2021 (p. ej., 1132)</t>
  </si>
  <si>
    <t xml:space="preserve">Rotación por región </t>
  </si>
  <si>
    <t xml:space="preserve">Notes: Notas: 
(1)  Tasa de rotación calculada teniendo en cuenta únicamente a los trabajadores fijos y % calculado en relación con el número promedio de trabajadores fijos durante 2021 (p. ej., 1132) 
(2)  Local se define como las personas de las comunidades adyacentes o cercanas a nuestras operaciones. 
(2) Nacional, no local se define como nicaragüenses que no son de comunidades adyacentes o cercanas a nuestras operaciones. </t>
  </si>
  <si>
    <t>Tasa de rotación</t>
  </si>
  <si>
    <t>% de rotación voluntaria (1)</t>
  </si>
  <si>
    <t>% de rotación involuntaria (1)</t>
  </si>
  <si>
    <t>Notas:
Tasa de rotación calculada teniendo en cuenta únicamente a los trabajadores fijos y % calculado en relación con el número promedio de trabajadores fijos durante 2021 (p. ej., 1132) 
(1) Tasa de rotación calculado teniendo en cuenta sólo los empleados permanentes y el porcentaje calculado con respecto al número medio de empleados permanentes durante 2021 (por ejemplo, 1132)</t>
  </si>
  <si>
    <t xml:space="preserve">Tabla 38. Número promedio de horas de capacitación por año por empleado por género </t>
  </si>
  <si>
    <t># de empleados</t>
  </si>
  <si>
    <t># de horas de capacitación proporcionadas</t>
  </si>
  <si>
    <t>Promedio de horas de capacitación por empleado</t>
  </si>
  <si>
    <t>Empleado</t>
  </si>
  <si>
    <t>Tabla 39. Porcentaje de empleados por categoría laboral en categorías de diversidad</t>
  </si>
  <si>
    <t>Porcentaje de empleados por género</t>
  </si>
  <si>
    <t xml:space="preserve">Categoría </t>
  </si>
  <si>
    <t>Vicepresidentes</t>
  </si>
  <si>
    <t>Alta gerencia</t>
  </si>
  <si>
    <t>Administración</t>
  </si>
  <si>
    <t>Superintendentes y Jefes de Área</t>
  </si>
  <si>
    <t xml:space="preserve">No gerencial </t>
  </si>
  <si>
    <t>Porcentaje de empleados por grupo etáreo</t>
  </si>
  <si>
    <t>No gerencial</t>
  </si>
  <si>
    <t>Categoría</t>
  </si>
  <si>
    <t>Menores de 30 años</t>
  </si>
  <si>
    <t>Edad 30-50</t>
  </si>
  <si>
    <t>Mayores de 50 años</t>
  </si>
  <si>
    <t>Tabla 40. Ratio entre el salario básico y la remuneración de mujeres y de hombres</t>
  </si>
  <si>
    <t>Empleado por categoría</t>
  </si>
  <si>
    <t>Ratio salario promedio mujer/hombre</t>
  </si>
  <si>
    <t>Vicepresidentes (1)</t>
  </si>
  <si>
    <t>Alta gerencia (1)</t>
  </si>
  <si>
    <t xml:space="preserve"> Superintendente / Jefe de Área</t>
  </si>
  <si>
    <t>Note:
(1) Ninguna mujer ocupó un puesto en esta categoría de empleados</t>
  </si>
  <si>
    <t># de empleados cubiertos por convenios colectivos (1)</t>
  </si>
  <si>
    <t>Porcentaje de cobertura</t>
  </si>
  <si>
    <t>Nota:
(1) Todos los empleados cubiertos por los convenios colectivos son nicaragüenses y pertenecen a las nóminas locales de El Limón o La Libertad. Los empleados no cubiertos por los convenios colectivos incluyen los de las oficinas de Managua, Pavón y EBP.</t>
  </si>
  <si>
    <t># de hogares involucrados</t>
  </si>
  <si>
    <t># de individuos involucrados</t>
  </si>
  <si>
    <t>Proceso de consulta realizado</t>
  </si>
  <si>
    <t>Cebadilla y Pozo 7</t>
  </si>
  <si>
    <t>Barrio Jabalí</t>
  </si>
  <si>
    <t>Todas las familias participaron en todas las etapas del reasentamiento desde las primeras etapas del proyecto</t>
  </si>
  <si>
    <t>No surgieron controversias durante el proceso.</t>
  </si>
  <si>
    <t>Controversias importantes relacionadas con el reasentamiento</t>
  </si>
  <si>
    <t>Proceso empleado para resolver temas pendientes</t>
  </si>
  <si>
    <t xml:space="preserve">Resultados en términos de medios de subsistencia, incluido el uso de la tierra </t>
  </si>
  <si>
    <r>
      <t>-</t>
    </r>
    <r>
      <rPr>
        <sz val="7"/>
        <color rgb="FF36256E"/>
        <rFont val="Times New Roman"/>
        <family val="1"/>
      </rPr>
      <t>  </t>
    </r>
    <r>
      <rPr>
        <sz val="9"/>
        <color rgb="FF36256E"/>
        <rFont val="Calibri"/>
        <family val="2"/>
        <scheme val="minor"/>
      </rPr>
      <t xml:space="preserve">   Se formuló un marco de compensación para las zonas de tierra, las zonas de vivienda, las estructuras externas de uso no habitacional, los árboles y los cultivos, y el traslado de material salvado o de reemplazo
-    Se creó un programa para beneficiar a las personas vulnerables.</t>
    </r>
  </si>
  <si>
    <r>
      <t>-</t>
    </r>
    <r>
      <rPr>
        <sz val="7"/>
        <color rgb="FF36256E"/>
        <rFont val="Times New Roman"/>
        <family val="1"/>
      </rPr>
      <t>  </t>
    </r>
    <r>
      <rPr>
        <sz val="9"/>
        <color rgb="FF36256E"/>
        <rFont val="Calibri"/>
        <family val="2"/>
        <scheme val="minor"/>
      </rPr>
      <t xml:space="preserve"> Se entregó una compensación económica a los propietarios que utilizaban las tierras circundantes para el pastoreo de ganado a fin de que compraran parcelas para pastoreo
-    Se identificaron familias vulnerables y se proporcionó capital semilla para ayudarles a iniciar un pequeño negocio que les permitiera adaptarse a la vida urbana. </t>
    </r>
  </si>
  <si>
    <t xml:space="preserve">No se necesitaron procesos adicionales ya que durante el proceso no surgieron temas pendientes </t>
  </si>
  <si>
    <t>Se identificaron familias vulnerables y se proporcionó capital semilla para ayudarles a iniciar un pequeño negocio que les permitiera adaptarse a la vida urbana. .</t>
  </si>
  <si>
    <t>Cambios en el acceso a los servicios básicos</t>
  </si>
  <si>
    <t>Proporción de la población que vive en hogares con acceso a servicios básicos - línea base  / antes del reasentamiento</t>
  </si>
  <si>
    <t>(ODS 1.4.2)</t>
  </si>
  <si>
    <t>Tabla 58. Lugares donde se llevaron a cabo reasentamientos, número de hogares reasentados en cada uno de ellos y cómo sus medios de vida fueron afectados en el proceso</t>
  </si>
  <si>
    <t>Tabla 59. Proporción de la población que vive en hogares con acceso a servicios básicos*</t>
  </si>
  <si>
    <t>Tabla 60. Proporción del total de la población adulta con derechos seguros de tenencia de la tierra: a) que posee documentación reconocida legalmente al respecto y b) considera seguros sus derechos, desglosada por sexo y tipo de tenencia*</t>
  </si>
  <si>
    <t>Cambios en los derechos de tenencia de la tierra</t>
  </si>
  <si>
    <t>Proporción de la población con tenencia segura de la tierra - línea base  / antes del reasentamiento</t>
  </si>
  <si>
    <t>Proporción de la población con tenencia segura de la tierra - después del reasentamiento</t>
  </si>
  <si>
    <t>(ODS 1.4.1)</t>
  </si>
  <si>
    <t>(ODS 11.1.1)</t>
  </si>
  <si>
    <t>(ODS 6.1.1)</t>
  </si>
  <si>
    <t>(ODS 6.2.1)</t>
  </si>
  <si>
    <t>(ODS 16.7.2)</t>
  </si>
  <si>
    <t>Tabla 61. Proporción de la población urbana que vive en barrios marginales, asentamientos improvisados o viviendas inadecuadas*</t>
  </si>
  <si>
    <t>Proporción de la población que vive en viviendas inadecuadas - línea base  / antes del reasentamiento</t>
  </si>
  <si>
    <t>Proporción de la población que vive en viviendas inadecuadas - después del reasentamiento</t>
  </si>
  <si>
    <t>Proporción de la población que dispone de servicios de suministro de agua potable gestionados de manera segura - línea base /antes del reasentamiento</t>
  </si>
  <si>
    <t>Tabla 62. Proporción de la población urbana que dispone de servicios de suministro de agua potable gestionados de manera segura*</t>
  </si>
  <si>
    <t>Cambios en el acceso al agua</t>
  </si>
  <si>
    <t>Proporción de la población que dispone de servicios de suministro de agua potable gestionados de manera segura –- después del reasentamiento</t>
  </si>
  <si>
    <t>Proporción de la población que utiliza servicios de saneamiento gestionados sin riesgos - línea base  / antes del reasentamiento</t>
  </si>
  <si>
    <t>Proporción de la población que utiliza servicios de saneamiento gestionados sin riesgos  - después del reasentamiento</t>
  </si>
  <si>
    <t>Tabla 64. Proporción de la población que considera que la adopción de decisiones es inclusiva y participativa*</t>
  </si>
  <si>
    <t>Percepción de la inclusividad del proceso de reasentamiento</t>
  </si>
  <si>
    <t xml:space="preserve"> Proporción de la población que cree que la toma de decisiones de Calibre es inclusiva y participativa  - línea  base / antes del reasentamiento</t>
  </si>
  <si>
    <t xml:space="preserve"> Proporción de la población que cree que la toma de decisiones de Calibre es inclusiva y participativa - después del reasentamiento</t>
  </si>
  <si>
    <t xml:space="preserve">Nota:
*La información sobre los cambios identificados en esta subsección ha sido recopilada a través de una encuesta realizada por los equipos de Relaciones Comunitarias y Reasentamiento de Calibre como parte de nuestro proceso de diligencia debida y evaluada con respecto a la línea base socioeconómica.					</t>
  </si>
  <si>
    <t xml:space="preserve"> Cambios en las condiciones de vivienda</t>
  </si>
  <si>
    <t>Proporción de la población que vive en hogares con acceso a servicios básicos - después del reasentamiento</t>
  </si>
  <si>
    <t xml:space="preserve">Tabla 12. Nuevos proveedores que han pasado filtros de selección de acuerdo con criterios ambientales &amp; sociales </t>
  </si>
  <si>
    <t>Tabla 13. Personal de seguridad capacitado en políticas o procedimientos de derechos humanos</t>
  </si>
  <si>
    <t># de personal de seguridad en el sitio(1)</t>
  </si>
  <si>
    <t>Notas:
(1)  Se refiere a los proveedores de seguridad privados (contratistas)</t>
  </si>
  <si>
    <t xml:space="preserve"># de personal de seguridad que ha recibido capacitación formal </t>
  </si>
  <si>
    <t>% de personal de seguridad capacitado</t>
  </si>
  <si>
    <t>Tabla 67. Valor económico directo generado y distribuido - Millones US$</t>
  </si>
  <si>
    <t>Año de informe</t>
  </si>
  <si>
    <t>(1/Ene - 31/Dic)</t>
  </si>
  <si>
    <t>Valor económico directo generado</t>
  </si>
  <si>
    <t>Valor económico distribuido</t>
  </si>
  <si>
    <t>Costos operativos</t>
  </si>
  <si>
    <t>Salarios y beneficios de los empleados</t>
  </si>
  <si>
    <t>Gastos de capital</t>
  </si>
  <si>
    <t>Pagos a proveedores de capital</t>
  </si>
  <si>
    <t>Inversiones en la comunitarias (1)</t>
  </si>
  <si>
    <t>Costos de cuidado y mantenimiento</t>
  </si>
  <si>
    <t>Costos de exploración</t>
  </si>
  <si>
    <t>Valor económico retenido</t>
  </si>
  <si>
    <t>Note:
(1) Las inversiones comunitarias se refieren a las donaciones voluntarias más la inversión de fondos en la comunidad en general cuando los beneficiarios meta son externos a la organización. Las inversiones en la comunidad excluyen las actividades de índole jurídica y comerciales o cuando el propósito de la inversión es exclusivamente comercial. Las inversiones en la comunidad también excluyen cualquier inversión en infraestructura que esté impulsada principalmente por necesidades empresariales básicas o para facilitar las operaciones comerciales de una organización.</t>
  </si>
  <si>
    <t>Tabla 68. Ratios entre el salario de categoría inicial estándar por género y el salario mínimo local</t>
  </si>
  <si>
    <t>Ejemplos</t>
  </si>
  <si>
    <t>Contribución a la macroeconomía de Nicaragua</t>
  </si>
  <si>
    <t>Estimulación de la inversión extranjera directa</t>
  </si>
  <si>
    <r>
      <t>-</t>
    </r>
    <r>
      <rPr>
        <sz val="7"/>
        <color rgb="FF36256E"/>
        <rFont val="Times New Roman"/>
        <family val="1"/>
      </rPr>
      <t xml:space="preserve"> </t>
    </r>
    <r>
      <rPr>
        <sz val="9"/>
        <color rgb="FF36256E"/>
        <rFont val="Calibri"/>
        <family val="2"/>
        <scheme val="minor"/>
      </rPr>
      <t xml:space="preserve"> En 2021, el valor económico directo distribuido de Calibre (US$ 286M), representó el 2% del PIB de Nicaragua (USD$ 14,013M según el Banco Central de Nicaragua).
-  511,182oz de oro exportadas en 2021, Calibre responsable del 36% (182,755 oz), equivalentes a US$867.6M en exportaciones, asegurando la posición del oro como producto de exportación #1 por segundo año consecutivo, y Calibre como una de las principales empresas exportadoras del país, apoyando la transformación económica nacional.</t>
    </r>
  </si>
  <si>
    <t>- Según el Banco Central de Nicaragua, del total de entradas brutas, las entradas netas de IED al tercer trimestre de 2021 fueron de US$888.1M, es decir, 1.4 veces más que los US$375.5M captados al tercer trimestre de 2020. El sector económico con las mayores entradas fue Energía y Minas con US$401.8M (US$173.1M al tercer trimestre de 2020). Calibre aportó 15 millones de dólares a la IED del sector durante ese período</t>
  </si>
  <si>
    <t>- Dado que nuestras operaciones tienen lugar en zonas remotas y empobrecidas con poca infraestructura o actividad económica alternativa, la minería de oro apoya a las economías locales y aporta beneficios sociales conexos.
- El sector minero en Nicaragua proporciona el segundo salario promedio más alto (COR C$17,237) sólo después del sector financiero (COR C$18,009) (1). La relación entre el salario promedio de Calibre para 2021 (COR C$38,800.65) y el salario promedio del sector minero es de 2.25.
- Un estudio independiente realizado por FUNIDES en 2016  (http://caminic.com/estudios/) estableció que las familias mineras nicaragüenses casi duplican los ingresos familiares de las familias no mineras, contribuyendo directamente a una reducción significativa del índice de pobreza multidimensional de la región.</t>
  </si>
  <si>
    <t>- Como tendemos a trabajar en zonas remotas, usualmente somos la principal fuente de empleo de la localidad.
-  En 2021, empleamos directamente a 1,193 personas y apoyamos otros 2,209 puestos de trabajo mediante contratos. Estos empleos generaron aproximadamente 5,550 puestos de trabajo adicionales en la economía del país anfitrión. En otras palabras, cada puesto de trabajo en la industria de la minería del oro apoya a dos más.
-  Tenemos un fuerte foco en la contratación local, lo que ha dado resultados demostrables. Los nicaragüenses constituyen el 96% de nuestros empleados, de los cuales el 81% son locales.</t>
  </si>
  <si>
    <t>-  Una gran parte del valor creado a través de nuestras actividades se queda en el país: por cada dólar de producción de oro, aproximadamente 63 centavos se destinan a salarios, impuestos o ingresos para propietarios de negocios locales en el país anfitrión.
-  En 2021, se gastaron más de US$50M en proveedores nacionales</t>
  </si>
  <si>
    <t>Impacto económico del uso de los servicios nacionales y locales</t>
  </si>
  <si>
    <t># de puestos de trabajo apoyados en la cadena de suministro como resultado del crecimiento de la organizaciónn</t>
  </si>
  <si>
    <t>Mejorado del índice de pobreza multidimensional en las familias minerass</t>
  </si>
  <si>
    <t xml:space="preserve">Note: 
(1) (1) Banco Central de Nicaragua. Salario promedio de empleo formal por actividad económica para el año 2021. Enlace: https://www.bcn.gob.ni/mercado-laboral "Nota: 
</t>
  </si>
  <si>
    <t xml:space="preserve">Tabla 70. Impactos económicos directos significativos </t>
  </si>
  <si>
    <t xml:space="preserve">Importancia de los impactos en el contexto de parámetros (benchmarks) externos y prioridades de los actores de interés </t>
  </si>
  <si>
    <t xml:space="preserve">Tabla 69. Inversiones en infraestructura y servicios apoyados </t>
  </si>
  <si>
    <t>Larreynaga, León</t>
  </si>
  <si>
    <t>Salario mínimo - Promedio nacional(1) (base mensual, COR$):</t>
  </si>
  <si>
    <t>Salario promedio - nacional(1) (base mensual, COR$):</t>
  </si>
  <si>
    <t>Salario mínimo - Sector minería y  canteras(2) (base mensual, COR$):</t>
  </si>
  <si>
    <t>Salario medio - Sector minería y  canteras(3) (base mensual, COR$):</t>
  </si>
  <si>
    <t>Salario promedio - Calibre (base mensual, COR C$):</t>
  </si>
  <si>
    <t>Salario inicial - Calibre(4) (base mensual, COR C$):</t>
  </si>
  <si>
    <t xml:space="preserve">Ratio entre el salario inicial de Calibre y el salario mínimo nacional </t>
  </si>
  <si>
    <t>Ratio entre el salario promedio de Calibre y el salario promedio nacional:</t>
  </si>
  <si>
    <t>Ratio entre el salario incial de Calibre y el salario mínimo para el sector minería y  canteras:</t>
  </si>
  <si>
    <t>Medidas adoptadas para determinar si el salario de los trabajadores de los contratistas es superior al salario mínimo:</t>
  </si>
  <si>
    <t>Ratio entre el salario promedio de Calibre y el salario promedio en el sector minería:</t>
  </si>
  <si>
    <t>Ninguna hasta la fecha</t>
  </si>
  <si>
    <r>
      <t>Notas:
(1) Salario mínimo y promedio nacional para 2021 según el Banco Central de Nicaragua: https://www.bcn.gob.ni/mercado-laboral</t>
    </r>
    <r>
      <rPr>
        <sz val="9"/>
        <color rgb="FF36256E"/>
        <rFont val="Times New Roman"/>
        <family val="1"/>
      </rPr>
      <t xml:space="preserve">
(2) </t>
    </r>
    <r>
      <rPr>
        <sz val="9"/>
        <color rgb="FF36256E"/>
        <rFont val="Calibri"/>
        <family val="2"/>
        <scheme val="minor"/>
      </rPr>
      <t>Salario mínimo para el sector minería y  canteras según la Ley de Salario Mínimo del Ministerio del Trabajo del 25/Feb/2021: http://www.mitrab.gob.ni/bienvenido/documentos/acuerdos/ACTA%20No%201%20SALARIO%20MINIMO%202021.pdf
(3)  Salario promedio para empleo formal en Minería y Canteras según datos del Banco Central de Nicaragua para 2021: https://www.bcn.gob.ni/mercado-laboral
(4)  Según la categoría de empleado más baja de Calibre (p. ej., asistentes de campo)</t>
    </r>
  </si>
  <si>
    <t>Mejora y ampliación del sistema local de agua potable en el distrito minero de El Limón</t>
  </si>
  <si>
    <t>Ampliación del sistema local de alcantarillado</t>
  </si>
  <si>
    <t>Pago de la factura de electricidad para el poblado de El Limón</t>
  </si>
  <si>
    <t>Mejoras en el servicio de electricidad para el poblado de El Limón</t>
  </si>
  <si>
    <t>Desarrollo residencial San Gil - Proyecto de reasentamiento en el Distrito Minero El Limón</t>
  </si>
  <si>
    <t>Desarrollo residencial Nuevo Santa Pancha en el Distrito Minero de El Limón</t>
  </si>
  <si>
    <t>Alcance</t>
  </si>
  <si>
    <t xml:space="preserve">(i) Instalación de 3.6 km de tuberías para la red sanitaria de recolección principal; (ii) construcción de una planta de tratamiento </t>
  </si>
  <si>
    <t>(i) Rehabilitación de dos pozos; (ii) Rehabilitación de tanque de 100,000 galones; (iii) Instalación de tanque de 100,000 galones; (iv) Instalación de 17 km de tuberías para líneas de conducción, aducción y distribución.</t>
  </si>
  <si>
    <t>Servicio de soporte, reparaciones y mantenimiento del sistema eléctrico.</t>
  </si>
  <si>
    <t>(i) Construcción de caminos internos del reasentamiento;(ii) Construcción de 35 casas;   (iii) Instalación de conexiones de agua a la red de abastecimiento de agua y  (iv) instalación de conexiones de alcantarillado doméstico</t>
  </si>
  <si>
    <t>(i) Instalación de conexiones de agua al sistema de agua;   (ii) instalación de conexiones de alcantarillado doméstico, y  (iii) mejora del sistema eléctrico</t>
  </si>
  <si>
    <t>Apoyo para el suministro de electricidad para El Limón.</t>
  </si>
  <si>
    <t>2 km de mejora vial</t>
  </si>
  <si>
    <t xml:space="preserve"> Costo (inversión en 2021)</t>
  </si>
  <si>
    <t>Tipo</t>
  </si>
  <si>
    <t xml:space="preserve">Duración </t>
  </si>
  <si>
    <t>En especie</t>
  </si>
  <si>
    <t xml:space="preserve"> 8 meses, en 2021</t>
  </si>
  <si>
    <t>US$ 994,976</t>
  </si>
  <si>
    <t>US$ 462,544</t>
  </si>
  <si>
    <t>US$ 1,096,687</t>
  </si>
  <si>
    <t xml:space="preserve">US$ 80,197 </t>
  </si>
  <si>
    <t xml:space="preserve"> US$ 2,483,928 </t>
  </si>
  <si>
    <t>US$ 272,000</t>
  </si>
  <si>
    <t xml:space="preserve">US$ 50,000 </t>
  </si>
  <si>
    <t xml:space="preserve"> US$ 27,835 </t>
  </si>
  <si>
    <t xml:space="preserve"> US$ 6,132 </t>
  </si>
  <si>
    <t xml:space="preserve"> US$ 4,817 </t>
  </si>
  <si>
    <t>Mejora de carreteras rurales comunitarias en Las Brisas</t>
  </si>
  <si>
    <t>Mantenimiento de carreteras rurales comunitarias en Yaosca Las Victorias</t>
  </si>
  <si>
    <t>Inversiones en infraestructura</t>
  </si>
  <si>
    <t>3 km de mantenimiento de carreteras</t>
  </si>
  <si>
    <t>Mejora de infraestructura de 3 escuelas locales</t>
  </si>
  <si>
    <t>Mejora de carreteras rurales comunitarias en Riscos de Oro</t>
  </si>
  <si>
    <t>8 km de mantenimiento de carreteras</t>
  </si>
  <si>
    <r>
      <t>1.</t>
    </r>
    <r>
      <rPr>
        <i/>
        <sz val="9"/>
        <color rgb="FF36256E"/>
        <rFont val="Calibri"/>
        <family val="2"/>
        <scheme val="minor"/>
      </rPr>
      <t xml:space="preserve"> Escuela 12 Septiembre</t>
    </r>
    <r>
      <rPr>
        <sz val="9"/>
        <color rgb="FF36256E"/>
        <rFont val="Calibri"/>
        <family val="2"/>
        <scheme val="minor"/>
      </rPr>
      <t>: Reparación de sistema eléctrico, mejoramiento de cocina y basurero.
2. Escuela José Martí: Mejoramiento de baños y tanque séptico.
3. Escuela San Antonio: Rehabilitación del sistema de tratamiento de inodoros</t>
    </r>
  </si>
  <si>
    <t>Impactos actuales o esperados sobre las comunidades y las economías locales</t>
  </si>
  <si>
    <t>6,681 personas (2,228 casas) de 7 comunidades (El Limón, Santa Pancha, Minvah, San Juan Viejo, Quebrada Honda, Galilao y El Paraíso):
'- Derecho a la salud, al agua y al saneamiento mediante un mejor acceso a agua potable de calidad, garantizando una cobertura del 100% del distrito minero</t>
  </si>
  <si>
    <t>770 personas (131 casas) de 2 comunidades (San Gil y Nuevo Santa Pancha):
- Derecho a la salud, al agua y al saneamiento a través de un mejor acceso a servicios de saneamiento gestionados de forma segura</t>
  </si>
  <si>
    <t>5,066 personas (1,613 casas) de El Limón:
-  Derecho a un nivel de vida adecuado mediante el acceso garantizado a los servicios básicos</t>
  </si>
  <si>
    <t xml:space="preserve"> 5,066 personas (1,613 casas) de El Limón:
- Derecho a un nivel de vida adecuado a través de un mejor acceso a los servicios básicos</t>
  </si>
  <si>
    <t>Fase de construcción 1-año (2021)</t>
  </si>
  <si>
    <t> 1 año; 2021</t>
  </si>
  <si>
    <t>123 personas (34 hogares):
-Derecho a un nivel de vida  adecuado a través de viviendas mejoradas y seguras
-Derecho  la propiedad 
-Derecho a la salud, a través de un mejor acceso a la infraestructura comunitaria
-Derecho al agua y al saneamiento
-Derecho a la libertad de circulación a través de la movilidad física</t>
  </si>
  <si>
    <t>400- 450 personas de 4 comunidades, sobre el derecho a la libertad de movimiento, seguridad y acceso a los servicios públicos a través de (i) Mejora de la movilidad física, al reducir la inseguridad debida al aislamiento; (ii) mejora de la facilidad de uso de las carreteras rurales por parte de los productores locales, potencialmente reduciendo el tiempo y los costos de transporte, y (iii) mejora de la accesibilidad a la infraestructura básica, los servicios sociales y las oportunidades económicas</t>
  </si>
  <si>
    <t>586 estudiantes de 3 comunidades (Yaosca Central, Las Brisas Central y San Antonio de Kuskawas):
- Derecho a la educación a través de mejores instalaciones escolares y servicios básicos
- Derecho a la salud a través de un mejor acceso a un sistema de agua potable y saneamiento de calidad</t>
  </si>
  <si>
    <t xml:space="preserve">Tabla 71. Proporción de gasto en proveedores locales </t>
  </si>
  <si>
    <t>Total de gasto en adquisiciones</t>
  </si>
  <si>
    <t>Gasto en adquisiciones a proveedores internacionales</t>
  </si>
  <si>
    <t>Gasto en adquisiciones a proveedores nacionales, no locales (1)</t>
  </si>
  <si>
    <t>Gasto en adquisiciones a proveedores nacionales, locales (2)</t>
  </si>
  <si>
    <t>% de gasto en adquisiciones a proveedores locales</t>
  </si>
  <si>
    <r>
      <t xml:space="preserve">% </t>
    </r>
    <r>
      <rPr>
        <b/>
        <sz val="9"/>
        <color theme="0"/>
        <rFont val="Calibri"/>
        <family val="2"/>
        <scheme val="minor"/>
      </rPr>
      <t>de gasto en adquisiciones a proveedores nacionales  (locales y no locales)</t>
    </r>
  </si>
  <si>
    <t>Notas:
 El sitio de la mina clasifica a los proveedores según su ubicación geográfica (proximidad al sitio):
(1) Nacional, no local define a personas o proveedores nicaragüenses que no son de comunidades adyacentes o cercanas a nuestras operaciones
(2) Local define a personas o proveedores de comunidades adyacentes o cercanas a nuestras operaciones</t>
  </si>
  <si>
    <t>Manejo de colas y roca estéril, en toneladas métricas (t)</t>
  </si>
  <si>
    <t>Colas</t>
  </si>
  <si>
    <t>Roca estéril generada (1)</t>
  </si>
  <si>
    <t>Generado</t>
  </si>
  <si>
    <t xml:space="preserve">Tabla 20. Cantidades totales de sobrecarga, roca, colas/residuos y lodos </t>
  </si>
  <si>
    <t>Intensidad de residuos de extracción (toneladas de residuos generados por onza de oro producido)</t>
  </si>
  <si>
    <t>Total residuos</t>
  </si>
  <si>
    <t xml:space="preserve">No destinados a eliminación </t>
  </si>
  <si>
    <t xml:space="preserve">Destinados a eliminación </t>
  </si>
  <si>
    <t xml:space="preserve">% reciclado </t>
  </si>
  <si>
    <t>Intensidad de residuos de extracción  (toneladas de residuos generados por onza de oro producido)</t>
  </si>
  <si>
    <t>No destinados a eliminación</t>
  </si>
  <si>
    <t>% reciclado</t>
  </si>
  <si>
    <t>Nota:
(1)  No hay presencia de roca estéril generadora de ácido o lixivie metales en los sitios de Calibre en 2020 o 2021.</t>
  </si>
  <si>
    <t xml:space="preserve">Tabla 21. Resiguos generados </t>
  </si>
  <si>
    <t>Composición de residuos en toneladas métricas (t)</t>
  </si>
  <si>
    <t>Residuos destinados a  eliminación</t>
  </si>
  <si>
    <t>Peligrosos</t>
  </si>
  <si>
    <t>No peligrosos</t>
  </si>
  <si>
    <t>Nota: 
Nuevo indicador, no hay datos disponibles para 2020.</t>
  </si>
  <si>
    <t>2021 Residuos no metálicos no destinados a eliminación mediante operaciones de valorización en toneladas métricas (t)</t>
  </si>
  <si>
    <t>Preparación para la reutilización</t>
  </si>
  <si>
    <t xml:space="preserve">Reciclaje </t>
  </si>
  <si>
    <t>Otras operaciones de recuperación</t>
  </si>
  <si>
    <t>Residuos no peligrosos</t>
  </si>
  <si>
    <t>Prevención de residuos</t>
  </si>
  <si>
    <t>En el sitio</t>
  </si>
  <si>
    <t>Fuera del sitio</t>
  </si>
  <si>
    <t>Residuos peligrosos</t>
  </si>
  <si>
    <t>Incineración (con recuperación energética)</t>
  </si>
  <si>
    <t>Traslado a un vertedero</t>
  </si>
  <si>
    <t>Otras operaciones de eliminación</t>
  </si>
  <si>
    <t xml:space="preserve">Residuos no peligrosos </t>
  </si>
  <si>
    <t>Incineración (sin recuperación energética)</t>
  </si>
  <si>
    <t>2021 Residuos no metálicos destinados a eliminación, mediante operación de eliminación en toneladas métricas (t)</t>
  </si>
  <si>
    <t>Tabla 24. Peso total de residuos no metálicos generados, en toneladas métricas (T)</t>
  </si>
  <si>
    <t>Chatarra</t>
  </si>
  <si>
    <t>Carbón de desecho</t>
  </si>
  <si>
    <t>Llantas</t>
  </si>
  <si>
    <t>Baterías</t>
  </si>
  <si>
    <t>Otros residuos sólidos</t>
  </si>
  <si>
    <t>(a) Nombre de la instalación</t>
  </si>
  <si>
    <t>(b) Ubicación</t>
  </si>
  <si>
    <t xml:space="preserve">Tabla 25. Inventario de presas de cola  </t>
  </si>
  <si>
    <t xml:space="preserve">San José </t>
  </si>
  <si>
    <t>Tabla 26. Número de embalses de relaves, desglosado por el potencial de  peligro según la MSHA</t>
  </si>
  <si>
    <t># PDC con potencial de riesgo significativo</t>
  </si>
  <si>
    <t xml:space="preserve"> # PDC con potencial de riesgo alto</t>
  </si>
  <si>
    <t># PDC con potencial de riesgo bajo</t>
  </si>
  <si>
    <t>Total de embalses de relaves</t>
  </si>
  <si>
    <t>(c) Situación de la propiedad</t>
  </si>
  <si>
    <t>(d) Estado de funcionamiento</t>
  </si>
  <si>
    <t>Operador</t>
  </si>
  <si>
    <t xml:space="preserve">Activa </t>
  </si>
  <si>
    <t>(e) Método de construcción</t>
  </si>
  <si>
    <t>(f) Capacidad máxima de almacenamiento permitida (t)</t>
  </si>
  <si>
    <t>(g) Cantidad actual de colas almacenadas</t>
  </si>
  <si>
    <t>(h) Clasificación de consecuencias</t>
  </si>
  <si>
    <t>Baja</t>
  </si>
  <si>
    <t>(i) Fecha de examen técnico independiente más reciente</t>
  </si>
  <si>
    <t>Ene-22</t>
  </si>
  <si>
    <t>(j) Hallazgos materiales</t>
  </si>
  <si>
    <t>(k) Medidas de mitigación</t>
  </si>
  <si>
    <t>(l) EPRP específico para cada sitio</t>
  </si>
  <si>
    <t xml:space="preserve"> Sí </t>
  </si>
  <si>
    <t xml:space="preserve">Proyectos </t>
  </si>
  <si>
    <t>Condiciones climáticas (1)</t>
  </si>
  <si>
    <t>Fuentes de agua (2)</t>
  </si>
  <si>
    <t xml:space="preserve">Estrés hídrico </t>
  </si>
  <si>
    <t>Calidad del agua</t>
  </si>
  <si>
    <t>Exceso de agua</t>
  </si>
  <si>
    <t>Mina  y molino La Libertad</t>
  </si>
  <si>
    <t>Mina y molino El Limón</t>
  </si>
  <si>
    <t>Precipitaciones moderadas con una  estación seca definida</t>
  </si>
  <si>
    <t>Retos para  cuencas hidrográfica</t>
  </si>
  <si>
    <t>Precipitaciones moderadas con una estación seca definida</t>
  </si>
  <si>
    <t>Precipitaciones moderadas</t>
  </si>
  <si>
    <t>Sí. Contaminación potencial de lodos de colas si la PDC se derrumba.</t>
  </si>
  <si>
    <t>Sí. Contaminación potencial de lodos de colas si la presa de colas (PDC) se derrumba.</t>
  </si>
  <si>
    <t xml:space="preserve"> Sí. Contaminación potencial de los lodos de residuos si la presa de colas se derrumba.</t>
  </si>
  <si>
    <t>Sí. Contaminación potencial si la presa de colas se derrumba</t>
  </si>
  <si>
    <t>Notes: Notas:
(1)      Húmedo, Semiárido, Árido, Precipitación moderada, Precipitación baja a moderada, Precipitación moderada con una estación seca definida. 
(2)      Agua subterránea (GW), Agua superficial (SW), Agua municipal/de terceros (MW.
(3)      (3) Nicaragua no tiene zonas de estrés hídrico.</t>
  </si>
  <si>
    <t xml:space="preserve"> ZONAS CON ESTRÉS HÍDRICO (8) </t>
  </si>
  <si>
    <t>Extracción de agua (1) por fuente (ML)</t>
  </si>
  <si>
    <t>Aguas superficiales (total) (2)</t>
  </si>
  <si>
    <t>Agua dulce (3)</t>
  </si>
  <si>
    <t>Otras aguas</t>
  </si>
  <si>
    <t>Aguas subterráneas (total) (4)</t>
  </si>
  <si>
    <t>Agua dulce</t>
  </si>
  <si>
    <t>Agua producida (total) (6)</t>
  </si>
  <si>
    <t>Total agua de terceros (7)</t>
  </si>
  <si>
    <t>Aguas superficiales</t>
  </si>
  <si>
    <t xml:space="preserve">Aguas subterráneas  </t>
  </si>
  <si>
    <t xml:space="preserve">Agua marina  </t>
  </si>
  <si>
    <t xml:space="preserve">Agua producida  </t>
  </si>
  <si>
    <t>Total de agua extraída</t>
  </si>
  <si>
    <t>Aguas marinas (total) (5)</t>
  </si>
  <si>
    <t>Aguas superficiales (total) + aguas subterráneas (total) + aguas marinas (total) + agua producida (total) + agua de terceros (total)</t>
  </si>
  <si>
    <t>Aguas superficiales (4)</t>
  </si>
  <si>
    <t>Aguas subterráneas (5)</t>
  </si>
  <si>
    <t>Aguas marinas (6)</t>
  </si>
  <si>
    <t>Agua de terceros (7) (total)</t>
  </si>
  <si>
    <t>Agua de terceros destinada al uso de otras organizaciones</t>
  </si>
  <si>
    <t>Vertido total de agua</t>
  </si>
  <si>
    <t>Aguas superficiales + aguas subterráneas + aguas marinas + agua de terceros (total)</t>
  </si>
  <si>
    <t>Vertido de agua por agua dulce (2) y otras aguas</t>
  </si>
  <si>
    <t>Vertido de agua por nivel de tratamiento (3)</t>
  </si>
  <si>
    <t>No hay tratamiento</t>
  </si>
  <si>
    <t>Tratamiento secundario: tiene como objetivo eliminar las sustancias y materiales que han quedado en el agua, o que están disueltos o suspendidos en ella</t>
  </si>
  <si>
    <t>Tratamiento terciario: tiene como objetivo elevar la calidad del agua antes de su vertido. Incluye procesos que eliminan, por ejemplo, metales pesados, nitrógeno y fósforo (p. ej., ósmosis inversa y tratamiento de aguas ácidas)</t>
  </si>
  <si>
    <t>Tratamiento primario: tiene como objetivo eliminar las sustancias sólidas
que se sedimentan o flotan en la superficie del agua.</t>
  </si>
  <si>
    <t>Tabla 18. Consumo de agua (ML)</t>
  </si>
  <si>
    <t>Consumo de agua</t>
  </si>
  <si>
    <t>Consumo total de agua (1)</t>
  </si>
  <si>
    <t>Total de agua reciclada (3)</t>
  </si>
  <si>
    <t>Total de agua utilizada (4)
(consumida más reciclada)</t>
  </si>
  <si>
    <t>Porcentaje reciclado
(agua reciclada dividida entre el agua utilizada)</t>
  </si>
  <si>
    <t>Cambio en el almacenamiento de agua (2), si se ha identificado que el almacenamiento de agua genera un impacto significativo relacionado con el agua</t>
  </si>
  <si>
    <t>Notas:
EBP ha comenzado a informar datos sobre el agua y, por lo tanto, se ha incluido en la información de 2021.
Nuestro Complejo El Limón vierte en la cuenca 58 del río Tecomapa y nuestro Complejo La Libertad en la cuenca 61 del río Escondido.
 (1) suma de los efluentes, el agua utilizada y el agua no utilizada vertida a las aguas superficiales, subterráneas o marinas, o a un tercero, para los que la organización no tiene ningún otro uso, en el transcurso del período de informe
(2) agua con una concentración de sólidos disueltos totales igual o inferior a 1,000 mg/L
(3) categorías de calidad del agua basadas en el Marco de Contabilidad del Agua (WAF por sus siglas en inglés)
(4) agua presente de manera natural en la superficie de la Tierra en forma de capas de hielo, cubiertas de hielo, glaciares,  icebergs, ciénagas, estanques, lagos, ríos y corrientes de agua
(5) Agua retenida y recuperable en una formación subterránea
(6) agua en un mar o en un océano
(7)  Proveedores municipales de agua y plantas municipales de tratamiento de aguas residuales, servicios públicos o privados y otras organizaciones involucradas en el suministro, transporte, tratamiento, eliminación o uso de agua y efluentes</t>
  </si>
  <si>
    <t>Notas:
EBP ha comenzado a informar  datos sobre agua y, por lo tanto, se ha incluido en la información de 2021.
(1) Suma de toda el agua extraída de aguas superficiales, subterráneas, marinas o de un tercero para cualquier uso en el transcurso del período de informe.
(2) Agua presente de manera natural en la superficie de la Tierra en forma de capas de hielo, cubiertas de hielo, glaciares,  icebergs, ciénagas, estanques, lagos, ríos y corrientes de agua. Incluye el agua de lluvia recogida o cosechada.
(3) Agua con una concentración de sólidos disueltos totales igual o inferior a 1,000 mg/L
(4) Agua retenida y recuperable en una formación subterránea
(5) Agua en un mar o en un océano
(6) Agua que entra en los límites de una organización como resultado de actividades de extracción (p. ej., petróleo crudo),  procesamiento (p.ej., trituración de la caña de azúcar) o el uso de cualquier materia prima, y que, por consiguiente, tiene que ser manejada por la organización
(7) Proveedores municipales de agua y plantas municipales de tratamiento de aguas residuales, servicios públicos o privados y otras organizaciones involucradas en el suministro, transporte, tratamiento, eliminación o uso de agua y efluentes
(8) Entre las herramientas disponibles públicamente y creíbles para evaluar las zonas con estrés hídrico se encuentran el "Atlas de Riesgos Hídricos Aqueduct" del Instituto de Recursos Mundiales (https://www.wri.org/initiatives/aqueduct) y el "Filtro de Riesgos Hídricos" del WWF.</t>
  </si>
  <si>
    <t>Notas: 
EBP ha comenzado a informar datos sobre agua y, por lo tanto, se ha incluido en la información de 2021.
(1)  suma de toda el agua que se ha extraído e incorporado a productos, que se ha utilizado en la producción de cultivos o que se ha generado como residuo, que se ha evaporado, que ha transpirado o que ha sido consumida por seres humanos o ganado, o que está contaminada hasta el punto de no poder ser utilizada por otros usuarios, y que, por tanto, no se ha vertido de vuelta a  aguas superficiales, aguas subterráneas,  aguas marinas o a un tercero en el transcurso del período de informe.  El consumo de agua incluye el agua que se ha almacenado durante el período de informe para su uso o vertido en un período de informe posterior. Esta definición se basa en la Guía para la presentación de informes sobre seguridad hídrica de CDP, 2018.
(2) agua retenida en instalaciones de almacenamiento de agua o en embalses.
(3) Agua reciclada se define como el agua reutilizada dentro del sitio para su uso en las operaciones. 
(4) En nuestro informe de 2020, el agua utilizada se definió como el agua utilizada en el procesamiento del mineral.</t>
  </si>
  <si>
    <t xml:space="preserve">Nota: 
Inversiones o servicios "significativos" definidos como aquéllos que producen un cambio positivo en los derechos humanos de las comunidades locales, por modesto que sea el monto de la inversión. 
</t>
  </si>
  <si>
    <t>84 hogares:
'- Derecho a un nivel de vida adecuada a través de la mejora del acceso a los servicios básicos, el agua y el saneamiento</t>
  </si>
  <si>
    <t>400 personas de 5 comunidades sobre el derecho a la libertad de movimiento, seguridad y acceso a los servicios públicos a través de (i)  Mejora de la movilidad física, al reducir la inseguridad debida al aislamiento; (ii) mejora de la facilidad de uso de las carreteras rurales por parte de los productores locales, potencialmente reduciendo el tiempo y los costos de transporte, y (iii) mejora de la accesibilidad a las infraestructuras básicas, los servicios sociales, los mercados y las oportunidades de empleo y económicas</t>
  </si>
  <si>
    <t xml:space="preserve"> Aprox. 567 personas de Riscos de Oro:
- Derecho a la libertad de circulación, seguridad y acceso a los servicios públicos a través de la movilidad física garantizada, la facilidad de uso de las carreteras rurales, la accesibilidad a las infraestructuras básicas, los servicios sociales, los mercados y las oportunidades de empleo y económicas</t>
  </si>
  <si>
    <t>Tabla 63. Proporción de la población que utiliza servicios de saneamiento gestionados sin riesgos*</t>
  </si>
  <si>
    <t>Medidas implantadas para restablecer la comunidad afectada y mitigar los efectos de la reubicación</t>
  </si>
  <si>
    <t xml:space="preserve">Notes: 
 (1) La tasa de lesiones por accidente laboral con grandes consecuencias es el número de lesiones por accidente laboral con grandes consecuencias x 200,000/total horas trabajadas.
(2)  La tasa de lesiones por accidente laboral registrables es el número de lesiones por accidente laboral registrables x 200,000/total horas trabajadas. </t>
  </si>
  <si>
    <t>Número de mujeres miembros</t>
  </si>
  <si>
    <t>Supervisión del tema de sostenibilidad por parte de la Junta Directiva</t>
  </si>
  <si>
    <t xml:space="preserve">Tabla 19. Uso de cianuro (miles de toneladas métricas) </t>
  </si>
  <si>
    <t xml:space="preserve"> Estos datos de desempeño reflejan información anual de nuestro desempeño en materia de sostenibilidad en las operaciones de propiedad al 100% y en las empresas conjuntas en las que Calibre es el operador. Si desea consultar nuestro Informe de Sostenibilidad 2021 completo, visite nuestro sitio web en https://www.calibremining.com/esg/overview/ 
Los datos se presentan de acuerdo con los estándares de la Iniciativa de Reporte Global (GRI por sus siglas en inglés) y el suplemento GRI G4 sobre minería y metales; los estándares de la Industria de Metales &amp; Minería 2021  del Consejo de Normas Contabilidad para la Sostenibilidad (SASB) 2021 de la Value Reporting Foundation; y el Mecanismo de Información para la Adquisición Local (LPRM), para el período comprendido entre el 1 de enero y el 31 de diciembre de 2021. Este informe no ha sido verificado externamente.</t>
  </si>
  <si>
    <t xml:space="preserve">Las tablas de datos sobre desempeño se han agrupado por temas materiales según lo establecido en nuestro Informe de Sostenibilidad 2021. 				</t>
  </si>
  <si>
    <t xml:space="preserve">PESTAÑA / TEMA MATERIAL </t>
  </si>
  <si>
    <t>TABLAS / CONTENIDO</t>
  </si>
  <si>
    <t>MARCO DEL CONTENIDO</t>
  </si>
  <si>
    <t>Operaciones evaluadas en función de los riesgos relacionados con la corrupción</t>
  </si>
  <si>
    <t>Comunicación y formación sobre políticas y procedimientos anticorrupción</t>
  </si>
  <si>
    <t>Casos de corrupción confirmados y medidas tomadas</t>
  </si>
  <si>
    <t>Residuos destinados a eliminación</t>
  </si>
  <si>
    <t>Cantidad total de residuos, relaves y sus riesgos asociados</t>
  </si>
  <si>
    <t>Intensidad de las emisiones de GEI (Alcances 1 y 2) - toneladas métricas CO2-e por tonelada de mineral procesado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</si>
</sst>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C$&quot;#,##0;[Red]\-&quot;C$&quot;#,##0"/>
    <numFmt numFmtId="164" formatCode="0.0"/>
  </numFmts>
  <fonts count="40">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sz val="9"/>
      <color theme="0"/>
      <name val="Calibri"/>
      <family val="2"/>
      <scheme val="minor"/>
    </font>
    <font>
      <b/>
      <sz val="9"/>
      <color rgb="FFFFFFFF"/>
      <name val="Calibri"/>
      <family val="2"/>
      <scheme val="minor"/>
    </font>
    <font>
      <sz val="11"/>
      <color theme="9" tint="-0.499984740745262"/>
      <name val="Calibri"/>
      <family val="2"/>
      <scheme val="minor"/>
    </font>
    <font>
      <sz val="9"/>
      <color theme="0"/>
      <name val="Calibri"/>
      <family val="2"/>
      <scheme val="minor"/>
    </font>
    <font>
      <u/>
      <sz val="11"/>
      <color theme="10"/>
      <name val="Calibri"/>
      <family val="2"/>
      <scheme val="minor"/>
    </font>
    <font>
      <i/>
      <sz val="10"/>
      <color theme="7"/>
      <name val="Calibri"/>
      <family val="2"/>
      <scheme val="minor"/>
    </font>
    <font>
      <sz val="9"/>
      <color theme="7"/>
      <name val="Calibri"/>
      <family val="2"/>
      <scheme val="minor"/>
    </font>
    <font>
      <b/>
      <sz val="9"/>
      <color theme="7"/>
      <name val="Calibri"/>
      <family val="2"/>
      <scheme val="minor"/>
    </font>
    <font>
      <sz val="8"/>
      <color theme="0"/>
      <name val="Calibri"/>
      <family val="2"/>
      <scheme val="minor"/>
    </font>
    <font>
      <b/>
      <sz val="13"/>
      <color theme="3"/>
      <name val="Calibri"/>
      <family val="2"/>
      <scheme val="minor"/>
    </font>
    <font>
      <sz val="8"/>
      <name val="Calibri"/>
      <family val="2"/>
      <scheme val="minor"/>
    </font>
    <font>
      <b/>
      <sz val="15"/>
      <color rgb="FF36256E"/>
      <name val="Calibri"/>
      <family val="2"/>
      <scheme val="minor"/>
    </font>
    <font>
      <sz val="11"/>
      <color rgb="FF36256E"/>
      <name val="Calibri"/>
      <family val="2"/>
      <scheme val="minor"/>
    </font>
    <font>
      <sz val="9"/>
      <color rgb="FF36256E"/>
      <name val="Calibri"/>
      <family val="2"/>
      <scheme val="minor"/>
    </font>
    <font>
      <b/>
      <sz val="13"/>
      <color rgb="FF36256E"/>
      <name val="Calibri"/>
      <family val="2"/>
      <scheme val="minor"/>
    </font>
    <font>
      <b/>
      <sz val="9"/>
      <color rgb="FF36256E"/>
      <name val="Calibri"/>
      <family val="2"/>
      <scheme val="minor"/>
    </font>
    <font>
      <b/>
      <sz val="11"/>
      <color rgb="FF36256E"/>
      <name val="Calibri"/>
      <family val="2"/>
      <scheme val="minor"/>
    </font>
    <font>
      <u/>
      <sz val="9"/>
      <color rgb="FF36256E"/>
      <name val="Calibri"/>
      <family val="2"/>
      <scheme val="minor"/>
    </font>
    <font>
      <sz val="7"/>
      <color rgb="FF36256E"/>
      <name val="Times New Roman"/>
      <family val="1"/>
    </font>
    <font>
      <sz val="8"/>
      <color rgb="FF36256E"/>
      <name val="Calibri"/>
      <family val="2"/>
      <scheme val="minor"/>
    </font>
    <font>
      <sz val="9"/>
      <color rgb="FF36256E"/>
      <name val="Calibri"/>
      <family val="2"/>
    </font>
    <font>
      <b/>
      <sz val="9"/>
      <color rgb="FF36256E"/>
      <name val="Calibri"/>
      <family val="2"/>
    </font>
    <font>
      <sz val="9"/>
      <color rgb="FF36256E"/>
      <name val="Times New Roman"/>
      <family val="1"/>
    </font>
    <font>
      <sz val="10"/>
      <color rgb="FF36256E"/>
      <name val="Calibri"/>
      <family val="2"/>
      <scheme val="minor"/>
    </font>
    <font>
      <i/>
      <sz val="9"/>
      <color rgb="FF36256E"/>
      <name val="Calibri"/>
      <family val="2"/>
      <scheme val="minor"/>
    </font>
    <font>
      <u/>
      <sz val="11"/>
      <color rgb="FF36256E"/>
      <name val="Calibri"/>
      <family val="2"/>
      <scheme val="minor"/>
    </font>
    <font>
      <b/>
      <sz val="15"/>
      <color rgb="FF36256E"/>
      <name val="Calibri (Cuerpo)"/>
    </font>
    <font>
      <sz val="11"/>
      <color rgb="FF36256E"/>
      <name val="Calibri (Cuerpo)"/>
    </font>
    <font>
      <b/>
      <sz val="11"/>
      <color rgb="FF36256E"/>
      <name val="Calibri (Cuerpo)"/>
    </font>
    <font>
      <b/>
      <sz val="9"/>
      <color rgb="FF36256E"/>
      <name val="Calibri (Cuerpo)"/>
    </font>
    <font>
      <sz val="9"/>
      <color rgb="FF36256E"/>
      <name val="Calibri (Cuerpo)"/>
    </font>
    <font>
      <b/>
      <sz val="16"/>
      <color rgb="FF36256E"/>
      <name val="Calibri"/>
      <family val="2"/>
      <scheme val="minor"/>
    </font>
    <font>
      <sz val="9"/>
      <color rgb="FF36256E"/>
      <name val="Calibri"/>
      <family val="1"/>
      <scheme val="minor"/>
    </font>
  </fonts>
  <fills count="14">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theme="9"/>
        <bgColor rgb="FF000000"/>
      </patternFill>
    </fill>
    <fill>
      <patternFill patternType="solid">
        <fgColor rgb="FF36246E"/>
        <bgColor indexed="64"/>
      </patternFill>
    </fill>
    <fill>
      <patternFill patternType="solid">
        <fgColor rgb="FF36246E"/>
        <bgColor theme="7"/>
      </patternFill>
    </fill>
    <fill>
      <patternFill patternType="solid">
        <fgColor rgb="FF36246E"/>
        <bgColor rgb="FF000000"/>
      </patternFill>
    </fill>
    <fill>
      <patternFill patternType="solid">
        <fgColor rgb="FF36256E"/>
        <bgColor indexed="64"/>
      </patternFill>
    </fill>
    <fill>
      <patternFill patternType="solid">
        <fgColor rgb="FF36256E"/>
        <bgColor theme="7"/>
      </patternFill>
    </fill>
  </fills>
  <borders count="33">
    <border>
      <left/>
      <right/>
      <top/>
      <bottom/>
      <diagonal/>
    </border>
    <border>
      <left/>
      <right/>
      <top/>
      <bottom style="thick">
        <color theme="4"/>
      </bottom>
      <diagonal/>
    </border>
    <border>
      <left/>
      <right/>
      <top style="thin">
        <color theme="7"/>
      </top>
      <bottom/>
      <diagonal/>
    </border>
    <border>
      <left/>
      <right/>
      <top/>
      <bottom style="thin">
        <color theme="7"/>
      </bottom>
      <diagonal/>
    </border>
    <border>
      <left style="thin">
        <color theme="7"/>
      </left>
      <right/>
      <top style="thin">
        <color theme="7"/>
      </top>
      <bottom/>
      <diagonal/>
    </border>
    <border>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style="thin">
        <color theme="7"/>
      </left>
      <right/>
      <top/>
      <bottom style="thin">
        <color theme="7"/>
      </bottom>
      <diagonal/>
    </border>
    <border>
      <left/>
      <right style="thin">
        <color theme="7"/>
      </right>
      <top/>
      <bottom style="thin">
        <color theme="7"/>
      </bottom>
      <diagonal/>
    </border>
    <border>
      <left style="thin">
        <color theme="7"/>
      </left>
      <right/>
      <top/>
      <bottom/>
      <diagonal/>
    </border>
    <border>
      <left/>
      <right style="thin">
        <color theme="7"/>
      </right>
      <top/>
      <bottom/>
      <diagonal/>
    </border>
    <border>
      <left style="thin">
        <color theme="7"/>
      </left>
      <right style="thin">
        <color theme="7"/>
      </right>
      <top style="thin">
        <color theme="7"/>
      </top>
      <bottom style="double">
        <color theme="7"/>
      </bottom>
      <diagonal/>
    </border>
    <border>
      <left/>
      <right/>
      <top/>
      <bottom style="thick">
        <color theme="4" tint="0.499984740745262"/>
      </bottom>
      <diagonal/>
    </border>
    <border>
      <left/>
      <right/>
      <top style="thin">
        <color theme="4"/>
      </top>
      <bottom style="double">
        <color theme="4"/>
      </bottom>
      <diagonal/>
    </border>
    <border>
      <left style="thin">
        <color theme="7"/>
      </left>
      <right style="thin">
        <color theme="7"/>
      </right>
      <top style="double">
        <color theme="7"/>
      </top>
      <bottom style="thin">
        <color theme="7"/>
      </bottom>
      <diagonal/>
    </border>
    <border>
      <left/>
      <right/>
      <top style="double">
        <color theme="4"/>
      </top>
      <bottom/>
      <diagonal/>
    </border>
    <border>
      <left/>
      <right/>
      <top/>
      <bottom style="thin">
        <color theme="0"/>
      </bottom>
      <diagonal/>
    </border>
    <border>
      <left/>
      <right/>
      <top style="thick">
        <color rgb="FF36256E"/>
      </top>
      <bottom/>
      <diagonal/>
    </border>
    <border>
      <left/>
      <right/>
      <top/>
      <bottom style="thick">
        <color rgb="FF36256E"/>
      </bottom>
      <diagonal/>
    </border>
    <border>
      <left/>
      <right/>
      <top style="thin">
        <color rgb="FF36256E"/>
      </top>
      <bottom/>
      <diagonal/>
    </border>
    <border>
      <left/>
      <right/>
      <top style="thin">
        <color rgb="FF36256E"/>
      </top>
      <bottom style="thin">
        <color rgb="FF36256E"/>
      </bottom>
      <diagonal/>
    </border>
    <border>
      <left style="thin">
        <color rgb="FF36256E"/>
      </left>
      <right/>
      <top style="thin">
        <color rgb="FF36256E"/>
      </top>
      <bottom/>
      <diagonal/>
    </border>
    <border>
      <left/>
      <right style="thin">
        <color rgb="FF36256E"/>
      </right>
      <top style="thin">
        <color rgb="FF36256E"/>
      </top>
      <bottom/>
      <diagonal/>
    </border>
    <border>
      <left style="thin">
        <color rgb="FF36256E"/>
      </left>
      <right/>
      <top/>
      <bottom/>
      <diagonal/>
    </border>
    <border>
      <left/>
      <right style="thin">
        <color rgb="FF36256E"/>
      </right>
      <top/>
      <bottom/>
      <diagonal/>
    </border>
    <border>
      <left style="thin">
        <color rgb="FF36256E"/>
      </left>
      <right/>
      <top style="thin">
        <color rgb="FF36256E"/>
      </top>
      <bottom style="thin">
        <color rgb="FF36256E"/>
      </bottom>
      <diagonal/>
    </border>
    <border>
      <left/>
      <right style="thin">
        <color rgb="FF36256E"/>
      </right>
      <top/>
      <bottom style="thin">
        <color rgb="FF36256E"/>
      </bottom>
      <diagonal/>
    </border>
    <border>
      <left/>
      <right/>
      <top/>
      <bottom style="medium">
        <color rgb="FF36256E"/>
      </bottom>
      <diagonal/>
    </border>
  </borders>
  <cellStyleXfs count="7">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11" fillId="0" borderId="0" applyNumberFormat="0" applyFill="0" applyBorder="0" applyAlignment="0" applyProtection="0"/>
    <xf numFmtId="0" fontId="16" fillId="0" borderId="17" applyNumberFormat="0" applyFill="0" applyAlignment="0" applyProtection="0"/>
    <xf numFmtId="0" fontId="4" fillId="0" borderId="18" applyNumberFormat="0" applyFill="0" applyAlignment="0" applyProtection="0"/>
  </cellStyleXfs>
  <cellXfs count="462">
    <xf numFmtId="0" fontId="0" fillId="0" borderId="0" xfId="0"/>
    <xf numFmtId="0" fontId="0" fillId="0" borderId="0" xfId="0" applyAlignment="1">
      <alignment wrapText="1"/>
    </xf>
    <xf numFmtId="0" fontId="5" fillId="0" borderId="0" xfId="0" applyFont="1"/>
    <xf numFmtId="0" fontId="6" fillId="0" borderId="0" xfId="0" applyFont="1" applyAlignment="1">
      <alignment vertical="center"/>
    </xf>
    <xf numFmtId="0" fontId="9" fillId="0" borderId="0" xfId="0" applyFont="1"/>
    <xf numFmtId="0" fontId="13" fillId="0" borderId="0" xfId="0" applyFont="1"/>
    <xf numFmtId="0" fontId="3" fillId="0" borderId="0" xfId="3"/>
    <xf numFmtId="0" fontId="13" fillId="0" borderId="0" xfId="0" applyFont="1" applyAlignment="1">
      <alignment vertical="top"/>
    </xf>
    <xf numFmtId="0" fontId="0" fillId="0" borderId="0" xfId="0" applyAlignment="1">
      <alignment horizontal="left"/>
    </xf>
    <xf numFmtId="0" fontId="5" fillId="0" borderId="0" xfId="0" applyFont="1" applyAlignment="1">
      <alignment horizontal="left"/>
    </xf>
    <xf numFmtId="0" fontId="19" fillId="0" borderId="0" xfId="0" applyFont="1"/>
    <xf numFmtId="0" fontId="19" fillId="0" borderId="0" xfId="0" applyFont="1" applyAlignment="1">
      <alignment horizontal="left" vertical="top" wrapText="1"/>
    </xf>
    <xf numFmtId="0" fontId="20" fillId="0" borderId="0" xfId="0" applyFont="1"/>
    <xf numFmtId="0" fontId="20" fillId="0" borderId="0" xfId="0" quotePrefix="1" applyFont="1"/>
    <xf numFmtId="0" fontId="10" fillId="9" borderId="0" xfId="0" applyFont="1" applyFill="1"/>
    <xf numFmtId="0" fontId="23" fillId="0" borderId="0" xfId="3" applyFont="1"/>
    <xf numFmtId="0" fontId="23" fillId="0" borderId="0" xfId="0" applyFont="1"/>
    <xf numFmtId="0" fontId="20" fillId="0" borderId="12" xfId="0" applyFont="1" applyBorder="1" applyAlignment="1">
      <alignment vertical="center" wrapText="1"/>
    </xf>
    <xf numFmtId="0" fontId="20" fillId="0" borderId="3" xfId="0" applyFont="1" applyBorder="1" applyAlignment="1">
      <alignment vertical="center" wrapText="1"/>
    </xf>
    <xf numFmtId="0" fontId="20" fillId="0" borderId="13"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4" fillId="0" borderId="8" xfId="4" applyFont="1" applyFill="1" applyBorder="1" applyAlignment="1">
      <alignment vertical="center" wrapText="1"/>
    </xf>
    <xf numFmtId="0" fontId="20" fillId="0" borderId="8" xfId="0" applyFont="1" applyBorder="1" applyAlignment="1">
      <alignment vertical="center" wrapText="1"/>
    </xf>
    <xf numFmtId="0" fontId="20" fillId="2" borderId="6" xfId="0" applyFont="1" applyFill="1" applyBorder="1" applyAlignment="1">
      <alignment vertical="center" wrapText="1"/>
    </xf>
    <xf numFmtId="0" fontId="20" fillId="2" borderId="7" xfId="0" applyFont="1" applyFill="1" applyBorder="1" applyAlignment="1">
      <alignment vertical="center" wrapText="1"/>
    </xf>
    <xf numFmtId="0" fontId="20" fillId="2" borderId="8" xfId="0" applyFont="1" applyFill="1" applyBorder="1" applyAlignment="1">
      <alignment vertical="center" wrapText="1"/>
    </xf>
    <xf numFmtId="0" fontId="20" fillId="0" borderId="2" xfId="0" applyFont="1" applyBorder="1" applyAlignment="1">
      <alignment vertical="center" wrapText="1"/>
    </xf>
    <xf numFmtId="0" fontId="20" fillId="0" borderId="0" xfId="0" applyFont="1" applyAlignment="1">
      <alignment vertical="center" wrapText="1"/>
    </xf>
    <xf numFmtId="0" fontId="22" fillId="0" borderId="4" xfId="0" applyFont="1" applyBorder="1" applyAlignment="1">
      <alignment vertical="center" wrapText="1"/>
    </xf>
    <xf numFmtId="0" fontId="22" fillId="0" borderId="2" xfId="0" applyFont="1" applyBorder="1" applyAlignment="1">
      <alignment vertical="center" wrapText="1"/>
    </xf>
    <xf numFmtId="0" fontId="20" fillId="0" borderId="5" xfId="0" applyFont="1" applyBorder="1" applyAlignment="1">
      <alignment horizontal="right" vertical="center" wrapText="1"/>
    </xf>
    <xf numFmtId="0" fontId="22" fillId="0" borderId="14" xfId="0" applyFont="1" applyBorder="1" applyAlignment="1">
      <alignment vertical="center" wrapText="1"/>
    </xf>
    <xf numFmtId="0" fontId="22" fillId="0" borderId="0" xfId="0" applyFont="1" applyAlignment="1">
      <alignment vertical="center" wrapText="1"/>
    </xf>
    <xf numFmtId="0" fontId="20" fillId="0" borderId="15" xfId="0" applyFont="1" applyBorder="1" applyAlignment="1">
      <alignment horizontal="right" vertical="center" wrapText="1"/>
    </xf>
    <xf numFmtId="0" fontId="20" fillId="0" borderId="15" xfId="0" applyFont="1" applyBorder="1" applyAlignment="1">
      <alignment vertical="center" wrapText="1"/>
    </xf>
    <xf numFmtId="0" fontId="24" fillId="0" borderId="0" xfId="4" applyFont="1" applyBorder="1" applyAlignment="1">
      <alignment vertical="center" wrapText="1"/>
    </xf>
    <xf numFmtId="0" fontId="24" fillId="0" borderId="0" xfId="4" applyFont="1" applyFill="1" applyBorder="1" applyAlignment="1">
      <alignment vertical="center" wrapText="1"/>
    </xf>
    <xf numFmtId="0" fontId="20" fillId="0" borderId="4" xfId="0" applyFont="1" applyBorder="1" applyAlignment="1">
      <alignment horizontal="left" vertical="top" wrapText="1"/>
    </xf>
    <xf numFmtId="0" fontId="20" fillId="0" borderId="2" xfId="0" applyFont="1" applyBorder="1" applyAlignment="1">
      <alignment horizontal="left" vertical="top" wrapText="1"/>
    </xf>
    <xf numFmtId="0" fontId="20" fillId="0" borderId="5" xfId="0" applyFont="1" applyBorder="1" applyAlignment="1">
      <alignment vertical="top" wrapText="1"/>
    </xf>
    <xf numFmtId="0" fontId="20" fillId="0" borderId="2" xfId="0" quotePrefix="1"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vertical="top" wrapText="1"/>
    </xf>
    <xf numFmtId="0" fontId="22" fillId="0" borderId="0" xfId="0" applyFont="1"/>
    <xf numFmtId="0" fontId="20" fillId="0" borderId="0" xfId="0" applyFont="1" applyAlignment="1">
      <alignment vertical="top"/>
    </xf>
    <xf numFmtId="0" fontId="20" fillId="0" borderId="0" xfId="0" applyFont="1" applyAlignment="1">
      <alignment wrapText="1"/>
    </xf>
    <xf numFmtId="0" fontId="7" fillId="10" borderId="4" xfId="0" applyFont="1" applyFill="1" applyBorder="1" applyAlignment="1">
      <alignment vertical="center"/>
    </xf>
    <xf numFmtId="0" fontId="7" fillId="10" borderId="2" xfId="0" applyFont="1" applyFill="1" applyBorder="1" applyAlignment="1">
      <alignment vertical="center"/>
    </xf>
    <xf numFmtId="0" fontId="7" fillId="10" borderId="5" xfId="0" applyFont="1" applyFill="1" applyBorder="1" applyAlignment="1">
      <alignment vertical="center"/>
    </xf>
    <xf numFmtId="0" fontId="7" fillId="9" borderId="4" xfId="0" applyFont="1" applyFill="1" applyBorder="1" applyAlignment="1">
      <alignment vertical="center" wrapText="1"/>
    </xf>
    <xf numFmtId="0" fontId="7" fillId="9" borderId="2" xfId="0" applyFont="1" applyFill="1" applyBorder="1" applyAlignment="1">
      <alignment vertical="center" wrapText="1"/>
    </xf>
    <xf numFmtId="0" fontId="7" fillId="9" borderId="5" xfId="0" applyFont="1" applyFill="1" applyBorder="1" applyAlignment="1">
      <alignment vertical="center" wrapText="1"/>
    </xf>
    <xf numFmtId="0" fontId="7" fillId="9" borderId="0" xfId="0" applyFont="1" applyFill="1" applyAlignment="1">
      <alignment vertical="center" wrapText="1"/>
    </xf>
    <xf numFmtId="0" fontId="10" fillId="9" borderId="0" xfId="4" applyFont="1" applyFill="1" applyBorder="1" applyAlignment="1">
      <alignment vertical="center" wrapText="1"/>
    </xf>
    <xf numFmtId="0" fontId="10" fillId="9" borderId="0" xfId="0" applyFont="1" applyFill="1" applyAlignment="1">
      <alignment vertical="center" wrapText="1"/>
    </xf>
    <xf numFmtId="0" fontId="7" fillId="10" borderId="4" xfId="0" applyFont="1" applyFill="1" applyBorder="1" applyAlignment="1">
      <alignment vertical="center" wrapText="1"/>
    </xf>
    <xf numFmtId="0" fontId="7" fillId="10" borderId="2" xfId="0" applyFont="1" applyFill="1" applyBorder="1" applyAlignment="1">
      <alignment vertical="center" wrapText="1"/>
    </xf>
    <xf numFmtId="0" fontId="7" fillId="10" borderId="5" xfId="0" applyFont="1" applyFill="1" applyBorder="1" applyAlignment="1">
      <alignment vertical="center" wrapText="1"/>
    </xf>
    <xf numFmtId="0" fontId="7" fillId="9" borderId="0" xfId="0" applyFont="1" applyFill="1" applyAlignment="1">
      <alignment horizontal="left" vertical="center"/>
    </xf>
    <xf numFmtId="0" fontId="20" fillId="0" borderId="0" xfId="0" applyFont="1" applyAlignment="1">
      <alignment vertical="center"/>
    </xf>
    <xf numFmtId="0" fontId="20" fillId="0" borderId="0" xfId="0" applyFont="1" applyAlignment="1">
      <alignment horizontal="center" vertical="top"/>
    </xf>
    <xf numFmtId="0" fontId="20" fillId="0" borderId="0" xfId="0" quotePrefix="1" applyFont="1" applyAlignment="1">
      <alignment horizontal="left" vertical="center" wrapText="1" indent="1"/>
    </xf>
    <xf numFmtId="0" fontId="19" fillId="0" borderId="0" xfId="0" applyFont="1" applyAlignment="1">
      <alignment horizontal="left"/>
    </xf>
    <xf numFmtId="3" fontId="20" fillId="0" borderId="0" xfId="0" applyNumberFormat="1" applyFont="1" applyAlignment="1">
      <alignment vertical="center"/>
    </xf>
    <xf numFmtId="0" fontId="22" fillId="0" borderId="18" xfId="6" applyFont="1" applyAlignment="1">
      <alignment vertical="center"/>
    </xf>
    <xf numFmtId="3" fontId="22" fillId="0" borderId="18" xfId="6" applyNumberFormat="1" applyFont="1" applyAlignment="1"/>
    <xf numFmtId="3" fontId="22" fillId="0" borderId="18" xfId="6" applyNumberFormat="1" applyFont="1" applyAlignment="1">
      <alignment horizontal="right"/>
    </xf>
    <xf numFmtId="3" fontId="22" fillId="0" borderId="18" xfId="6" applyNumberFormat="1" applyFont="1" applyFill="1" applyAlignment="1"/>
    <xf numFmtId="0" fontId="7" fillId="9" borderId="0" xfId="0" applyFont="1" applyFill="1" applyAlignment="1">
      <alignment vertical="center"/>
    </xf>
    <xf numFmtId="0" fontId="19" fillId="0" borderId="0" xfId="0" applyFont="1" applyAlignment="1">
      <alignment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right" vertical="center"/>
    </xf>
    <xf numFmtId="2" fontId="20" fillId="0" borderId="0" xfId="0" applyNumberFormat="1" applyFont="1" applyAlignment="1">
      <alignment horizontal="right" vertical="center" wrapText="1"/>
    </xf>
    <xf numFmtId="0" fontId="22" fillId="0" borderId="18" xfId="6" applyFont="1" applyAlignment="1">
      <alignment horizontal="left" vertical="center"/>
    </xf>
    <xf numFmtId="0" fontId="22" fillId="0" borderId="18" xfId="6" applyFont="1" applyAlignment="1">
      <alignment horizontal="right" vertical="center"/>
    </xf>
    <xf numFmtId="2" fontId="22" fillId="0" borderId="18" xfId="6" applyNumberFormat="1" applyFont="1" applyAlignment="1">
      <alignment horizontal="right" vertical="center" wrapText="1"/>
    </xf>
    <xf numFmtId="0" fontId="22" fillId="0" borderId="18" xfId="6" applyFont="1" applyAlignment="1">
      <alignment horizontal="left" vertical="center" wrapText="1"/>
    </xf>
    <xf numFmtId="2" fontId="20" fillId="0" borderId="0" xfId="0" applyNumberFormat="1" applyFont="1" applyAlignment="1">
      <alignment horizontal="right" vertical="center"/>
    </xf>
    <xf numFmtId="2" fontId="19" fillId="0" borderId="0" xfId="0" applyNumberFormat="1" applyFont="1"/>
    <xf numFmtId="2" fontId="22" fillId="0" borderId="18" xfId="6" applyNumberFormat="1" applyFont="1" applyAlignment="1">
      <alignment horizontal="right"/>
    </xf>
    <xf numFmtId="0" fontId="20" fillId="0" borderId="4" xfId="0" applyFont="1" applyBorder="1" applyAlignment="1">
      <alignment vertical="center" wrapText="1"/>
    </xf>
    <xf numFmtId="0" fontId="20" fillId="0" borderId="2" xfId="0" applyFont="1" applyBorder="1" applyAlignment="1">
      <alignment horizontal="left" vertical="center"/>
    </xf>
    <xf numFmtId="0" fontId="20" fillId="0" borderId="5" xfId="0" applyFont="1" applyBorder="1" applyAlignment="1">
      <alignment horizontal="left" vertical="center"/>
    </xf>
    <xf numFmtId="0" fontId="20" fillId="0" borderId="4"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4" xfId="0" applyFont="1" applyBorder="1" applyAlignment="1">
      <alignment horizontal="left" vertical="center"/>
    </xf>
    <xf numFmtId="0" fontId="20" fillId="0" borderId="2" xfId="0" applyFont="1" applyBorder="1" applyAlignment="1">
      <alignment horizontal="lef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wrapText="1"/>
    </xf>
    <xf numFmtId="0" fontId="7" fillId="9" borderId="0" xfId="0" applyFont="1" applyFill="1" applyAlignment="1">
      <alignment horizontal="left" vertical="center" wrapText="1"/>
    </xf>
    <xf numFmtId="0" fontId="10" fillId="9" borderId="0" xfId="0" applyFont="1" applyFill="1" applyAlignment="1">
      <alignment horizontal="left" vertical="center" wrapText="1"/>
    </xf>
    <xf numFmtId="0" fontId="7" fillId="10" borderId="4"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22" fillId="0" borderId="9" xfId="0" applyFont="1" applyBorder="1" applyAlignment="1">
      <alignment vertical="center" wrapText="1"/>
    </xf>
    <xf numFmtId="3" fontId="22" fillId="0" borderId="9" xfId="0" applyNumberFormat="1" applyFont="1" applyBorder="1" applyAlignment="1">
      <alignment horizontal="right" vertical="center" wrapText="1"/>
    </xf>
    <xf numFmtId="3" fontId="22" fillId="3" borderId="9" xfId="0" applyNumberFormat="1" applyFont="1" applyFill="1" applyBorder="1" applyAlignment="1">
      <alignment horizontal="right" vertical="center" wrapText="1"/>
    </xf>
    <xf numFmtId="9" fontId="22" fillId="0" borderId="9" xfId="1" applyFont="1" applyBorder="1" applyAlignment="1">
      <alignment horizontal="center" vertical="center" wrapText="1"/>
    </xf>
    <xf numFmtId="0" fontId="20" fillId="0" borderId="9" xfId="0" applyFont="1" applyBorder="1" applyAlignment="1">
      <alignment horizontal="left" vertical="center" wrapText="1" indent="1"/>
    </xf>
    <xf numFmtId="3" fontId="20" fillId="0" borderId="9" xfId="0" applyNumberFormat="1" applyFont="1" applyBorder="1" applyAlignment="1">
      <alignment vertical="top" wrapText="1"/>
    </xf>
    <xf numFmtId="3" fontId="20" fillId="3" borderId="9" xfId="0" applyNumberFormat="1" applyFont="1" applyFill="1" applyBorder="1" applyAlignment="1">
      <alignment horizontal="right" vertical="center" wrapText="1"/>
    </xf>
    <xf numFmtId="3" fontId="20" fillId="0" borderId="9" xfId="0" applyNumberFormat="1" applyFont="1" applyBorder="1" applyAlignment="1">
      <alignment horizontal="right" vertical="center" wrapText="1"/>
    </xf>
    <xf numFmtId="9" fontId="20" fillId="0" borderId="9" xfId="1" applyFont="1" applyBorder="1" applyAlignment="1">
      <alignment horizontal="center" vertical="center" wrapText="1"/>
    </xf>
    <xf numFmtId="9" fontId="20" fillId="0" borderId="9" xfId="1" applyFont="1" applyBorder="1" applyAlignment="1">
      <alignment horizontal="center" vertical="top" wrapText="1"/>
    </xf>
    <xf numFmtId="3" fontId="27" fillId="0" borderId="9" xfId="0" applyNumberFormat="1" applyFont="1" applyBorder="1" applyAlignment="1">
      <alignment horizontal="right" vertical="center" wrapText="1"/>
    </xf>
    <xf numFmtId="9" fontId="27" fillId="0" borderId="9" xfId="1" applyFont="1" applyBorder="1" applyAlignment="1">
      <alignment horizontal="center" vertical="center" wrapText="1"/>
    </xf>
    <xf numFmtId="3" fontId="28" fillId="0" borderId="9" xfId="0" applyNumberFormat="1" applyFont="1" applyBorder="1" applyAlignment="1">
      <alignment horizontal="right" vertical="center" wrapText="1"/>
    </xf>
    <xf numFmtId="0" fontId="22" fillId="0" borderId="18" xfId="6" applyFont="1" applyFill="1" applyAlignment="1">
      <alignment vertical="center" wrapText="1"/>
    </xf>
    <xf numFmtId="3" fontId="22" fillId="0" borderId="18" xfId="6" applyNumberFormat="1" applyFont="1" applyFill="1" applyAlignment="1">
      <alignment horizontal="right" vertical="center" wrapText="1"/>
    </xf>
    <xf numFmtId="3" fontId="22" fillId="3" borderId="18" xfId="6" applyNumberFormat="1" applyFont="1" applyFill="1" applyAlignment="1">
      <alignment horizontal="right" vertical="center" wrapText="1"/>
    </xf>
    <xf numFmtId="9" fontId="22" fillId="0" borderId="18" xfId="1" applyFont="1" applyFill="1" applyBorder="1" applyAlignment="1">
      <alignment horizontal="right" vertical="center" wrapText="1"/>
    </xf>
    <xf numFmtId="9" fontId="22" fillId="0" borderId="18" xfId="6" applyNumberFormat="1" applyFont="1" applyFill="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20" fillId="0" borderId="9" xfId="0" applyFont="1" applyBorder="1" applyAlignment="1">
      <alignment vertical="center"/>
    </xf>
    <xf numFmtId="3" fontId="20" fillId="0" borderId="9" xfId="0" applyNumberFormat="1" applyFont="1" applyBorder="1" applyAlignment="1">
      <alignment horizontal="right" vertical="center"/>
    </xf>
    <xf numFmtId="0" fontId="22" fillId="0" borderId="16" xfId="0" applyFont="1" applyBorder="1" applyAlignment="1">
      <alignment vertical="center"/>
    </xf>
    <xf numFmtId="3" fontId="22" fillId="0" borderId="16" xfId="0" applyNumberFormat="1" applyFont="1" applyBorder="1" applyAlignment="1">
      <alignment horizontal="right" vertical="center" wrapText="1"/>
    </xf>
    <xf numFmtId="0" fontId="20" fillId="2" borderId="11" xfId="0" applyFont="1" applyFill="1" applyBorder="1" applyAlignment="1">
      <alignment vertical="center"/>
    </xf>
    <xf numFmtId="0" fontId="7" fillId="9" borderId="9" xfId="0" applyFont="1" applyFill="1" applyBorder="1" applyAlignment="1">
      <alignment vertical="center" wrapText="1"/>
    </xf>
    <xf numFmtId="0" fontId="7" fillId="9" borderId="9" xfId="0" applyFont="1" applyFill="1" applyBorder="1" applyAlignment="1">
      <alignment horizontal="left" vertical="center" wrapText="1"/>
    </xf>
    <xf numFmtId="0" fontId="19" fillId="0" borderId="21" xfId="0" applyFont="1" applyBorder="1"/>
    <xf numFmtId="0" fontId="20" fillId="0" borderId="0" xfId="0" applyFont="1" applyAlignment="1">
      <alignment horizontal="left" vertical="top" wrapText="1"/>
    </xf>
    <xf numFmtId="0" fontId="20" fillId="0" borderId="0" xfId="0" applyFont="1" applyAlignment="1">
      <alignment horizontal="left"/>
    </xf>
    <xf numFmtId="0" fontId="20" fillId="0" borderId="0" xfId="0" applyFont="1" applyAlignment="1">
      <alignment vertical="top" wrapText="1"/>
    </xf>
    <xf numFmtId="0" fontId="20" fillId="0" borderId="5" xfId="0" applyFont="1" applyBorder="1" applyAlignment="1">
      <alignment vertical="center" wrapText="1"/>
    </xf>
    <xf numFmtId="0" fontId="20" fillId="0" borderId="2" xfId="0" applyFont="1" applyBorder="1" applyAlignment="1">
      <alignment vertical="center"/>
    </xf>
    <xf numFmtId="0" fontId="20" fillId="0" borderId="7" xfId="0" applyFont="1" applyBorder="1" applyAlignment="1">
      <alignment vertical="center"/>
    </xf>
    <xf numFmtId="3" fontId="20" fillId="0" borderId="0" xfId="0" applyNumberFormat="1" applyFont="1" applyAlignment="1">
      <alignment horizontal="right" vertical="center" wrapText="1"/>
    </xf>
    <xf numFmtId="0" fontId="20" fillId="3" borderId="0" xfId="0" applyFont="1" applyFill="1" applyAlignment="1">
      <alignment horizontal="right" vertical="center"/>
    </xf>
    <xf numFmtId="10" fontId="20" fillId="0" borderId="0" xfId="0" applyNumberFormat="1" applyFont="1" applyAlignment="1">
      <alignment horizontal="right" vertical="center"/>
    </xf>
    <xf numFmtId="0" fontId="10" fillId="9" borderId="0" xfId="0" applyFont="1" applyFill="1" applyAlignment="1">
      <alignment horizontal="right" vertical="center" wrapText="1"/>
    </xf>
    <xf numFmtId="0" fontId="10" fillId="9" borderId="0" xfId="0" applyFont="1" applyFill="1" applyAlignment="1">
      <alignment horizontal="left" vertical="top" wrapText="1"/>
    </xf>
    <xf numFmtId="0" fontId="10" fillId="9" borderId="0" xfId="0" applyFont="1" applyFill="1" applyAlignment="1">
      <alignment horizontal="right" vertical="top" wrapText="1"/>
    </xf>
    <xf numFmtId="0" fontId="10" fillId="9" borderId="0" xfId="0" applyFont="1" applyFill="1" applyAlignment="1">
      <alignment vertical="center"/>
    </xf>
    <xf numFmtId="0" fontId="7" fillId="9" borderId="0" xfId="0" applyFont="1" applyFill="1" applyAlignment="1">
      <alignment horizontal="center" vertical="center"/>
    </xf>
    <xf numFmtId="9" fontId="20" fillId="0" borderId="0" xfId="0" applyNumberFormat="1" applyFont="1" applyAlignment="1">
      <alignment horizontal="left" vertical="center" wrapText="1"/>
    </xf>
    <xf numFmtId="0" fontId="26" fillId="0" borderId="0" xfId="0" applyFont="1" applyAlignment="1">
      <alignment vertical="center"/>
    </xf>
    <xf numFmtId="0" fontId="30" fillId="0" borderId="0" xfId="0" applyFont="1" applyAlignment="1">
      <alignment vertical="center"/>
    </xf>
    <xf numFmtId="16" fontId="20" fillId="0" borderId="0" xfId="0" quotePrefix="1" applyNumberFormat="1" applyFont="1" applyAlignment="1">
      <alignment horizontal="left" vertical="center" wrapText="1"/>
    </xf>
    <xf numFmtId="9" fontId="20" fillId="0" borderId="0" xfId="0" applyNumberFormat="1" applyFont="1" applyAlignment="1">
      <alignment horizontal="left" vertical="center"/>
    </xf>
    <xf numFmtId="0" fontId="19" fillId="0" borderId="0" xfId="0" applyFont="1" applyAlignment="1">
      <alignment vertical="top"/>
    </xf>
    <xf numFmtId="0" fontId="22" fillId="0" borderId="18" xfId="6" applyFont="1" applyFill="1" applyAlignment="1">
      <alignment horizontal="left" vertical="center" wrapText="1"/>
    </xf>
    <xf numFmtId="9" fontId="22" fillId="0" borderId="18" xfId="6" applyNumberFormat="1" applyFont="1" applyFill="1" applyAlignment="1">
      <alignment horizontal="left" vertical="center" wrapText="1"/>
    </xf>
    <xf numFmtId="3" fontId="20" fillId="0" borderId="0" xfId="0" applyNumberFormat="1" applyFont="1" applyAlignment="1">
      <alignment horizontal="center" vertical="center" wrapText="1"/>
    </xf>
    <xf numFmtId="3" fontId="20" fillId="0" borderId="0" xfId="0" applyNumberFormat="1" applyFont="1" applyAlignment="1">
      <alignment horizontal="right" vertical="center"/>
    </xf>
    <xf numFmtId="0" fontId="20" fillId="2" borderId="0" xfId="0" applyFont="1" applyFill="1" applyAlignment="1">
      <alignment vertical="center"/>
    </xf>
    <xf numFmtId="0" fontId="20" fillId="2" borderId="0" xfId="0" applyFont="1" applyFill="1" applyAlignment="1">
      <alignment horizontal="right" vertical="center"/>
    </xf>
    <xf numFmtId="9" fontId="20" fillId="0" borderId="0" xfId="0" applyNumberFormat="1" applyFont="1" applyAlignment="1">
      <alignment horizontal="right" vertical="center"/>
    </xf>
    <xf numFmtId="0" fontId="22" fillId="0" borderId="18" xfId="6" applyFont="1" applyAlignment="1">
      <alignment vertical="center" wrapText="1"/>
    </xf>
    <xf numFmtId="3" fontId="22" fillId="0" borderId="18" xfId="6" applyNumberFormat="1" applyFont="1" applyAlignment="1">
      <alignment horizontal="right" vertical="center"/>
    </xf>
    <xf numFmtId="0" fontId="19" fillId="0" borderId="0" xfId="0" applyFont="1" applyAlignment="1">
      <alignment horizontal="right" vertical="top"/>
    </xf>
    <xf numFmtId="0" fontId="23" fillId="0" borderId="0" xfId="0" applyFont="1" applyAlignment="1">
      <alignment horizontal="left" vertical="center" wrapText="1"/>
    </xf>
    <xf numFmtId="0" fontId="23" fillId="0" borderId="0" xfId="0" applyFont="1" applyAlignment="1">
      <alignment horizontal="left"/>
    </xf>
    <xf numFmtId="0" fontId="20" fillId="0" borderId="3" xfId="0" applyFont="1" applyBorder="1" applyAlignment="1">
      <alignment horizontal="right" vertical="center" wrapText="1"/>
    </xf>
    <xf numFmtId="0" fontId="20" fillId="0" borderId="13" xfId="0" applyFont="1" applyBorder="1" applyAlignment="1">
      <alignment horizontal="right" vertical="center" wrapText="1"/>
    </xf>
    <xf numFmtId="0" fontId="19" fillId="0" borderId="0" xfId="0" applyFont="1" applyAlignment="1">
      <alignment vertical="center" wrapText="1"/>
    </xf>
    <xf numFmtId="0" fontId="10" fillId="9" borderId="0" xfId="0" applyFont="1" applyFill="1" applyAlignment="1">
      <alignment horizontal="left" vertical="center"/>
    </xf>
    <xf numFmtId="0" fontId="7" fillId="9" borderId="4" xfId="0" applyFont="1" applyFill="1" applyBorder="1" applyAlignment="1">
      <alignment horizontal="left" vertical="center" wrapText="1"/>
    </xf>
    <xf numFmtId="0" fontId="7" fillId="9" borderId="2" xfId="0" applyFont="1" applyFill="1" applyBorder="1" applyAlignment="1">
      <alignment horizontal="left" vertical="center" wrapText="1"/>
    </xf>
    <xf numFmtId="0" fontId="7" fillId="9" borderId="5" xfId="0" applyFont="1" applyFill="1" applyBorder="1" applyAlignment="1">
      <alignment horizontal="left" vertical="center" wrapText="1"/>
    </xf>
    <xf numFmtId="0" fontId="34" fillId="0" borderId="0" xfId="0" applyFont="1" applyAlignment="1">
      <alignment wrapText="1"/>
    </xf>
    <xf numFmtId="0" fontId="35" fillId="0" borderId="0" xfId="3" applyFont="1"/>
    <xf numFmtId="0" fontId="34" fillId="0" borderId="0" xfId="0" applyFont="1"/>
    <xf numFmtId="0" fontId="34" fillId="0" borderId="0" xfId="0" applyFont="1" applyAlignment="1">
      <alignment horizontal="left"/>
    </xf>
    <xf numFmtId="0" fontId="37" fillId="0" borderId="9" xfId="0" applyFont="1" applyBorder="1" applyAlignment="1">
      <alignment horizontal="right" vertical="center"/>
    </xf>
    <xf numFmtId="9" fontId="34" fillId="0" borderId="0" xfId="1" applyFont="1" applyAlignment="1">
      <alignment horizontal="right"/>
    </xf>
    <xf numFmtId="0" fontId="34" fillId="0" borderId="0" xfId="0" applyFont="1" applyAlignment="1">
      <alignment horizontal="right"/>
    </xf>
    <xf numFmtId="0" fontId="36" fillId="0" borderId="9" xfId="0" applyFont="1" applyBorder="1" applyAlignment="1">
      <alignment horizontal="right" vertical="center"/>
    </xf>
    <xf numFmtId="9" fontId="34" fillId="0" borderId="0" xfId="1" applyFont="1"/>
    <xf numFmtId="0" fontId="37" fillId="0" borderId="0" xfId="0" applyFont="1" applyAlignment="1">
      <alignment horizontal="left"/>
    </xf>
    <xf numFmtId="0" fontId="37" fillId="0" borderId="0" xfId="0" applyFont="1" applyAlignment="1">
      <alignment horizontal="right"/>
    </xf>
    <xf numFmtId="0" fontId="37" fillId="0" borderId="0" xfId="0" applyFont="1"/>
    <xf numFmtId="0" fontId="37" fillId="0" borderId="9" xfId="0" applyFont="1" applyBorder="1" applyAlignment="1">
      <alignment vertical="center" wrapText="1"/>
    </xf>
    <xf numFmtId="0" fontId="37" fillId="0" borderId="9" xfId="0" applyFont="1" applyBorder="1" applyAlignment="1">
      <alignment horizontal="right" vertical="center" wrapText="1"/>
    </xf>
    <xf numFmtId="10" fontId="37" fillId="0" borderId="9" xfId="0" applyNumberFormat="1" applyFont="1" applyBorder="1" applyAlignment="1">
      <alignment horizontal="right" vertical="center" wrapText="1"/>
    </xf>
    <xf numFmtId="9" fontId="37" fillId="0" borderId="9" xfId="1" applyFont="1" applyFill="1" applyBorder="1" applyAlignment="1">
      <alignment horizontal="right" vertical="center" wrapText="1"/>
    </xf>
    <xf numFmtId="0" fontId="37" fillId="0" borderId="16" xfId="0" applyFont="1" applyBorder="1" applyAlignment="1">
      <alignment vertical="center" wrapText="1"/>
    </xf>
    <xf numFmtId="0" fontId="37" fillId="0" borderId="16" xfId="0" applyFont="1" applyBorder="1" applyAlignment="1">
      <alignment horizontal="right" vertical="center" wrapText="1"/>
    </xf>
    <xf numFmtId="10" fontId="37" fillId="0" borderId="10" xfId="0" applyNumberFormat="1" applyFont="1" applyBorder="1" applyAlignment="1">
      <alignment horizontal="right" vertical="center" wrapText="1"/>
    </xf>
    <xf numFmtId="9" fontId="37" fillId="0" borderId="16" xfId="1" applyFont="1" applyFill="1" applyBorder="1" applyAlignment="1">
      <alignment horizontal="right" vertical="center" wrapText="1"/>
    </xf>
    <xf numFmtId="0" fontId="36" fillId="6" borderId="11" xfId="0" applyFont="1" applyFill="1" applyBorder="1" applyAlignment="1">
      <alignment vertical="center" wrapText="1"/>
    </xf>
    <xf numFmtId="0" fontId="36" fillId="0" borderId="11" xfId="0" applyFont="1" applyBorder="1" applyAlignment="1">
      <alignment horizontal="right" vertical="center" wrapText="1"/>
    </xf>
    <xf numFmtId="10" fontId="36" fillId="0" borderId="19" xfId="0" applyNumberFormat="1" applyFont="1" applyBorder="1" applyAlignment="1">
      <alignment horizontal="right" vertical="center" wrapText="1"/>
    </xf>
    <xf numFmtId="9" fontId="36" fillId="0" borderId="11" xfId="1" applyFont="1" applyFill="1" applyBorder="1" applyAlignment="1">
      <alignment horizontal="right" vertical="center" wrapText="1"/>
    </xf>
    <xf numFmtId="0" fontId="36" fillId="0" borderId="0" xfId="0" applyFont="1"/>
    <xf numFmtId="0" fontId="37" fillId="0" borderId="9" xfId="0" applyFont="1" applyBorder="1" applyAlignment="1">
      <alignment horizontal="left" vertical="center" wrapText="1" indent="1"/>
    </xf>
    <xf numFmtId="0" fontId="37" fillId="0" borderId="16" xfId="0" applyFont="1" applyBorder="1" applyAlignment="1">
      <alignment horizontal="left" vertical="center" wrapText="1" indent="1"/>
    </xf>
    <xf numFmtId="10" fontId="37" fillId="0" borderId="16" xfId="0" applyNumberFormat="1" applyFont="1" applyBorder="1" applyAlignment="1">
      <alignment horizontal="right" vertical="center" wrapText="1"/>
    </xf>
    <xf numFmtId="10" fontId="36" fillId="0" borderId="11" xfId="0" applyNumberFormat="1" applyFont="1" applyBorder="1" applyAlignment="1">
      <alignment horizontal="right" vertical="center" wrapText="1"/>
    </xf>
    <xf numFmtId="3" fontId="36" fillId="0" borderId="11" xfId="0" applyNumberFormat="1" applyFont="1" applyBorder="1" applyAlignment="1">
      <alignment horizontal="right" vertical="center" wrapText="1"/>
    </xf>
    <xf numFmtId="3" fontId="37" fillId="0" borderId="16" xfId="0" applyNumberFormat="1" applyFont="1" applyBorder="1" applyAlignment="1">
      <alignment horizontal="right" vertical="center" wrapText="1"/>
    </xf>
    <xf numFmtId="0" fontId="37" fillId="0" borderId="0" xfId="0" applyFont="1" applyAlignment="1">
      <alignment vertical="top" wrapText="1"/>
    </xf>
    <xf numFmtId="0" fontId="37" fillId="0" borderId="0" xfId="0" applyFont="1" applyAlignment="1">
      <alignment vertical="top"/>
    </xf>
    <xf numFmtId="10" fontId="37" fillId="3" borderId="9" xfId="0" applyNumberFormat="1" applyFont="1" applyFill="1" applyBorder="1" applyAlignment="1">
      <alignment horizontal="right" vertical="center"/>
    </xf>
    <xf numFmtId="3" fontId="37" fillId="0" borderId="9" xfId="0" applyNumberFormat="1" applyFont="1" applyBorder="1" applyAlignment="1">
      <alignment horizontal="right" vertical="center" wrapText="1"/>
    </xf>
    <xf numFmtId="3" fontId="37" fillId="0" borderId="9" xfId="0" applyNumberFormat="1" applyFont="1" applyBorder="1" applyAlignment="1">
      <alignment horizontal="right" vertical="center"/>
    </xf>
    <xf numFmtId="10" fontId="37" fillId="0" borderId="9" xfId="0" applyNumberFormat="1" applyFont="1" applyBorder="1" applyAlignment="1">
      <alignment horizontal="right" vertical="center"/>
    </xf>
    <xf numFmtId="0" fontId="35" fillId="0" borderId="0" xfId="0" applyFont="1" applyAlignment="1">
      <alignment horizontal="left"/>
    </xf>
    <xf numFmtId="0" fontId="37" fillId="0" borderId="9" xfId="0" applyFont="1" applyBorder="1" applyAlignment="1">
      <alignment horizontal="left" vertical="center"/>
    </xf>
    <xf numFmtId="0" fontId="36" fillId="0" borderId="18" xfId="6" applyFont="1" applyFill="1" applyAlignment="1">
      <alignment horizontal="left" vertical="center"/>
    </xf>
    <xf numFmtId="10" fontId="36" fillId="0" borderId="18" xfId="1" applyNumberFormat="1" applyFont="1" applyFill="1" applyBorder="1" applyAlignment="1">
      <alignment horizontal="right" vertical="center"/>
    </xf>
    <xf numFmtId="0" fontId="37" fillId="0" borderId="0" xfId="0" applyFont="1" applyAlignment="1">
      <alignment vertical="center" wrapText="1"/>
    </xf>
    <xf numFmtId="0" fontId="37" fillId="0" borderId="9" xfId="0" applyFont="1" applyBorder="1" applyAlignment="1">
      <alignment vertical="center"/>
    </xf>
    <xf numFmtId="1" fontId="37" fillId="0" borderId="9" xfId="0" applyNumberFormat="1" applyFont="1" applyBorder="1" applyAlignment="1">
      <alignment horizontal="right" vertical="center"/>
    </xf>
    <xf numFmtId="0" fontId="36" fillId="0" borderId="18" xfId="6" applyFont="1" applyFill="1" applyAlignment="1">
      <alignment vertical="center"/>
    </xf>
    <xf numFmtId="3" fontId="36" fillId="0" borderId="18" xfId="6" applyNumberFormat="1" applyFont="1" applyFill="1" applyAlignment="1">
      <alignment horizontal="right" vertical="center"/>
    </xf>
    <xf numFmtId="1" fontId="36" fillId="0" borderId="18" xfId="6" applyNumberFormat="1" applyFont="1" applyFill="1" applyAlignment="1">
      <alignment horizontal="right" vertical="center"/>
    </xf>
    <xf numFmtId="0" fontId="36" fillId="5" borderId="0" xfId="0" applyFont="1" applyFill="1" applyAlignment="1">
      <alignment vertical="center" wrapText="1"/>
    </xf>
    <xf numFmtId="0" fontId="34" fillId="0" borderId="0" xfId="0" applyFont="1" applyAlignment="1">
      <alignment horizontal="left" vertical="center" wrapText="1"/>
    </xf>
    <xf numFmtId="9" fontId="37" fillId="0" borderId="9" xfId="0" applyNumberFormat="1" applyFont="1" applyBorder="1" applyAlignment="1">
      <alignment horizontal="right" vertical="center" wrapText="1"/>
    </xf>
    <xf numFmtId="0" fontId="34" fillId="0" borderId="0" xfId="0" applyFont="1" applyAlignment="1">
      <alignment vertical="center" wrapText="1"/>
    </xf>
    <xf numFmtId="0" fontId="35" fillId="0" borderId="0" xfId="0" applyFont="1"/>
    <xf numFmtId="9" fontId="37" fillId="0" borderId="9" xfId="0" applyNumberFormat="1" applyFont="1" applyBorder="1" applyAlignment="1">
      <alignment horizontal="right" vertical="center"/>
    </xf>
    <xf numFmtId="0" fontId="7" fillId="9" borderId="9" xfId="0" applyFont="1" applyFill="1" applyBorder="1" applyAlignment="1">
      <alignment horizontal="left" vertical="center"/>
    </xf>
    <xf numFmtId="0" fontId="7" fillId="9" borderId="11" xfId="0" applyFont="1" applyFill="1" applyBorder="1" applyAlignment="1">
      <alignment horizontal="left" vertical="center"/>
    </xf>
    <xf numFmtId="0" fontId="7" fillId="11" borderId="9" xfId="0" applyFont="1" applyFill="1" applyBorder="1" applyAlignment="1">
      <alignment horizontal="left" vertical="center" wrapText="1"/>
    </xf>
    <xf numFmtId="0" fontId="7" fillId="9" borderId="9" xfId="0" applyFont="1" applyFill="1" applyBorder="1" applyAlignment="1">
      <alignment vertical="center"/>
    </xf>
    <xf numFmtId="0" fontId="22" fillId="0" borderId="5" xfId="0" applyFont="1" applyBorder="1" applyAlignment="1">
      <alignment vertical="center" wrapText="1"/>
    </xf>
    <xf numFmtId="0" fontId="22" fillId="4" borderId="14" xfId="0" applyFont="1" applyFill="1" applyBorder="1" applyAlignment="1">
      <alignment vertical="center" wrapText="1"/>
    </xf>
    <xf numFmtId="0" fontId="20" fillId="4" borderId="0" xfId="0" applyFont="1" applyFill="1" applyAlignment="1">
      <alignment vertical="center" wrapText="1"/>
    </xf>
    <xf numFmtId="0" fontId="20" fillId="4" borderId="15" xfId="0" applyFont="1" applyFill="1" applyBorder="1" applyAlignment="1">
      <alignment vertical="center" wrapText="1"/>
    </xf>
    <xf numFmtId="0" fontId="20" fillId="0" borderId="0" xfId="0" quotePrefix="1" applyFont="1" applyAlignment="1">
      <alignment vertical="center" wrapText="1"/>
    </xf>
    <xf numFmtId="0" fontId="22" fillId="0" borderId="12" xfId="0" applyFont="1" applyBorder="1" applyAlignment="1">
      <alignment vertical="center" wrapText="1"/>
    </xf>
    <xf numFmtId="9" fontId="20" fillId="0" borderId="0" xfId="0" applyNumberFormat="1" applyFont="1" applyAlignment="1">
      <alignment horizontal="right" vertical="center" wrapText="1"/>
    </xf>
    <xf numFmtId="9" fontId="20" fillId="0" borderId="0" xfId="1" applyFont="1" applyAlignment="1">
      <alignment horizontal="right"/>
    </xf>
    <xf numFmtId="0" fontId="22" fillId="0" borderId="18" xfId="6" applyFont="1" applyAlignment="1">
      <alignment vertical="top"/>
    </xf>
    <xf numFmtId="0" fontId="22" fillId="0" borderId="18" xfId="6" applyFont="1" applyAlignment="1">
      <alignment horizontal="right"/>
    </xf>
    <xf numFmtId="9" fontId="22" fillId="0" borderId="18" xfId="6" applyNumberFormat="1" applyFont="1" applyAlignment="1">
      <alignment horizontal="right"/>
    </xf>
    <xf numFmtId="0" fontId="10" fillId="9" borderId="0" xfId="0" applyFont="1" applyFill="1" applyAlignment="1">
      <alignment horizontal="left"/>
    </xf>
    <xf numFmtId="0" fontId="20" fillId="2" borderId="9" xfId="0" applyFont="1" applyFill="1" applyBorder="1" applyAlignment="1">
      <alignment horizontal="left" vertical="center" wrapText="1"/>
    </xf>
    <xf numFmtId="0" fontId="20" fillId="0" borderId="9" xfId="0" applyFont="1" applyBorder="1" applyAlignment="1">
      <alignment horizontal="right" vertical="center" wrapText="1"/>
    </xf>
    <xf numFmtId="0" fontId="20" fillId="0" borderId="9" xfId="0" applyFont="1" applyBorder="1" applyAlignment="1">
      <alignment horizontal="right" vertical="center"/>
    </xf>
    <xf numFmtId="6" fontId="20" fillId="0" borderId="3" xfId="0" applyNumberFormat="1" applyFont="1" applyBorder="1" applyAlignment="1">
      <alignment horizontal="center" vertical="center"/>
    </xf>
    <xf numFmtId="6" fontId="20" fillId="0" borderId="7" xfId="0" applyNumberFormat="1" applyFont="1" applyBorder="1" applyAlignment="1">
      <alignment horizontal="center" vertical="center"/>
    </xf>
    <xf numFmtId="164" fontId="20" fillId="0" borderId="3" xfId="0" applyNumberFormat="1" applyFont="1" applyBorder="1" applyAlignment="1">
      <alignment horizontal="center" vertical="center"/>
    </xf>
    <xf numFmtId="164" fontId="20" fillId="0" borderId="7" xfId="0" applyNumberFormat="1" applyFont="1" applyBorder="1" applyAlignment="1">
      <alignment horizontal="center" vertical="center"/>
    </xf>
    <xf numFmtId="0" fontId="22" fillId="2" borderId="0" xfId="0" applyFont="1" applyFill="1" applyAlignment="1">
      <alignment horizontal="right" vertical="center" wrapText="1"/>
    </xf>
    <xf numFmtId="0" fontId="22" fillId="2" borderId="7" xfId="0" applyFont="1" applyFill="1" applyBorder="1" applyAlignment="1">
      <alignment horizontal="center" vertical="center"/>
    </xf>
    <xf numFmtId="0" fontId="22" fillId="0" borderId="0" xfId="0" applyFont="1" applyAlignment="1">
      <alignment horizontal="right" vertical="center" wrapText="1"/>
    </xf>
    <xf numFmtId="0" fontId="22" fillId="0" borderId="7" xfId="0" applyFont="1" applyBorder="1" applyAlignment="1">
      <alignment horizontal="center" vertical="center"/>
    </xf>
    <xf numFmtId="0" fontId="20" fillId="0" borderId="0" xfId="0" quotePrefix="1" applyFont="1" applyAlignment="1">
      <alignment horizontal="left" vertical="center" wrapText="1"/>
    </xf>
    <xf numFmtId="0" fontId="19" fillId="0" borderId="0" xfId="0" applyFont="1" applyAlignment="1">
      <alignment horizontal="right"/>
    </xf>
    <xf numFmtId="0" fontId="23" fillId="0" borderId="0" xfId="3" applyFont="1" applyAlignment="1">
      <alignment vertical="center"/>
    </xf>
    <xf numFmtId="0" fontId="20" fillId="0" borderId="9" xfId="0" applyFont="1" applyBorder="1" applyAlignment="1">
      <alignment wrapText="1"/>
    </xf>
    <xf numFmtId="3" fontId="22" fillId="0" borderId="9" xfId="0" applyNumberFormat="1" applyFont="1" applyBorder="1" applyAlignment="1">
      <alignment wrapText="1"/>
    </xf>
    <xf numFmtId="9" fontId="20" fillId="0" borderId="9" xfId="1" applyFont="1" applyBorder="1" applyAlignment="1">
      <alignment wrapText="1"/>
    </xf>
    <xf numFmtId="9" fontId="22" fillId="0" borderId="9" xfId="1" applyFont="1" applyBorder="1" applyAlignment="1">
      <alignment wrapText="1"/>
    </xf>
    <xf numFmtId="3" fontId="20" fillId="0" borderId="9" xfId="0" applyNumberFormat="1" applyFont="1" applyBorder="1" applyAlignment="1">
      <alignment horizontal="right" wrapText="1"/>
    </xf>
    <xf numFmtId="3" fontId="22" fillId="0" borderId="9" xfId="0" applyNumberFormat="1" applyFont="1" applyBorder="1" applyAlignment="1">
      <alignment horizontal="right" wrapText="1"/>
    </xf>
    <xf numFmtId="0" fontId="20" fillId="0" borderId="9" xfId="0" applyFont="1" applyBorder="1" applyAlignment="1">
      <alignment horizontal="right" wrapText="1"/>
    </xf>
    <xf numFmtId="9" fontId="20" fillId="0" borderId="9" xfId="1" applyFont="1" applyBorder="1" applyAlignment="1">
      <alignment horizontal="right" wrapText="1"/>
    </xf>
    <xf numFmtId="1" fontId="20" fillId="0" borderId="0" xfId="0" applyNumberFormat="1" applyFont="1" applyAlignment="1">
      <alignment horizontal="right" vertical="center"/>
    </xf>
    <xf numFmtId="0" fontId="20" fillId="0" borderId="0" xfId="0" applyFont="1" applyAlignment="1">
      <alignment horizontal="left" wrapText="1"/>
    </xf>
    <xf numFmtId="1" fontId="19" fillId="0" borderId="0" xfId="0" applyNumberFormat="1" applyFont="1"/>
    <xf numFmtId="0" fontId="18" fillId="0" borderId="0" xfId="2" applyFont="1" applyBorder="1" applyAlignment="1">
      <alignment horizontal="left" wrapText="1"/>
    </xf>
    <xf numFmtId="0" fontId="18" fillId="0" borderId="0" xfId="2" applyFont="1" applyBorder="1" applyAlignment="1">
      <alignment horizontal="left"/>
    </xf>
    <xf numFmtId="0" fontId="7" fillId="9" borderId="0" xfId="3" applyFont="1" applyFill="1" applyAlignment="1">
      <alignment horizontal="left" vertical="center"/>
    </xf>
    <xf numFmtId="0" fontId="7" fillId="9" borderId="0" xfId="0" applyFont="1" applyFill="1" applyAlignment="1">
      <alignment horizontal="left"/>
    </xf>
    <xf numFmtId="3" fontId="20" fillId="0" borderId="9" xfId="0" applyNumberFormat="1" applyFont="1" applyBorder="1" applyAlignment="1">
      <alignment horizontal="right" vertical="top" wrapText="1"/>
    </xf>
    <xf numFmtId="0" fontId="20" fillId="0" borderId="2" xfId="0" applyFont="1" applyBorder="1" applyAlignment="1">
      <alignment horizontal="right" vertical="center" wrapText="1"/>
    </xf>
    <xf numFmtId="0" fontId="20" fillId="0" borderId="24" xfId="0" applyFont="1" applyBorder="1" applyAlignment="1">
      <alignment vertical="center" wrapText="1"/>
    </xf>
    <xf numFmtId="0" fontId="20" fillId="0" borderId="25" xfId="0" applyFont="1" applyBorder="1" applyAlignment="1">
      <alignment horizontal="left" vertical="top" wrapText="1"/>
    </xf>
    <xf numFmtId="0" fontId="20" fillId="0" borderId="30" xfId="0" applyFont="1" applyBorder="1" applyAlignment="1">
      <alignment horizontal="left" vertical="top" wrapText="1"/>
    </xf>
    <xf numFmtId="0" fontId="20" fillId="0" borderId="30" xfId="0" applyFont="1" applyBorder="1" applyAlignment="1">
      <alignment vertical="top" wrapText="1"/>
    </xf>
    <xf numFmtId="9" fontId="20" fillId="2" borderId="11" xfId="1" applyFont="1" applyFill="1" applyBorder="1" applyAlignment="1">
      <alignment horizontal="right" vertical="center" wrapText="1"/>
    </xf>
    <xf numFmtId="9" fontId="20" fillId="2" borderId="11" xfId="1" applyFont="1" applyFill="1" applyBorder="1" applyAlignment="1">
      <alignment horizontal="right" vertical="center"/>
    </xf>
    <xf numFmtId="3" fontId="22" fillId="2" borderId="9" xfId="0" applyNumberFormat="1" applyFont="1" applyFill="1" applyBorder="1" applyAlignment="1">
      <alignment horizontal="left" vertical="top"/>
    </xf>
    <xf numFmtId="0" fontId="20" fillId="0" borderId="9" xfId="0" applyFont="1" applyBorder="1" applyAlignment="1">
      <alignment horizontal="left" wrapText="1" indent="2"/>
    </xf>
    <xf numFmtId="3" fontId="20" fillId="0" borderId="9" xfId="0" applyNumberFormat="1" applyFont="1" applyBorder="1" applyAlignment="1">
      <alignment vertical="center" wrapText="1"/>
    </xf>
    <xf numFmtId="3" fontId="20" fillId="3" borderId="9" xfId="0" applyNumberFormat="1" applyFont="1" applyFill="1" applyBorder="1" applyAlignment="1">
      <alignment wrapText="1"/>
    </xf>
    <xf numFmtId="3" fontId="20" fillId="0" borderId="9" xfId="0" applyNumberFormat="1" applyFont="1" applyBorder="1" applyAlignment="1">
      <alignment wrapText="1"/>
    </xf>
    <xf numFmtId="3" fontId="22" fillId="2" borderId="9" xfId="0" applyNumberFormat="1" applyFont="1" applyFill="1" applyBorder="1" applyAlignment="1">
      <alignment vertical="top" wrapText="1"/>
    </xf>
    <xf numFmtId="3" fontId="20" fillId="3" borderId="9" xfId="0" applyNumberFormat="1" applyFont="1" applyFill="1" applyBorder="1" applyAlignment="1">
      <alignment vertical="top" wrapText="1"/>
    </xf>
    <xf numFmtId="3" fontId="22" fillId="12" borderId="9" xfId="0" applyNumberFormat="1" applyFont="1" applyFill="1" applyBorder="1" applyAlignment="1">
      <alignment wrapText="1"/>
    </xf>
    <xf numFmtId="3" fontId="20" fillId="3" borderId="9" xfId="0" applyNumberFormat="1" applyFont="1" applyFill="1" applyBorder="1" applyAlignment="1">
      <alignment horizontal="right" wrapText="1"/>
    </xf>
    <xf numFmtId="0" fontId="14" fillId="0" borderId="0" xfId="0" applyFont="1"/>
    <xf numFmtId="0" fontId="20" fillId="0" borderId="8" xfId="0" applyFont="1" applyBorder="1" applyAlignment="1">
      <alignment horizontal="left" vertical="center" wrapText="1"/>
    </xf>
    <xf numFmtId="0" fontId="7" fillId="9" borderId="32" xfId="0" applyFont="1" applyFill="1" applyBorder="1" applyAlignment="1">
      <alignment vertical="center" wrapText="1"/>
    </xf>
    <xf numFmtId="0" fontId="20" fillId="0" borderId="6" xfId="0" applyFont="1" applyBorder="1" applyAlignment="1">
      <alignment wrapText="1"/>
    </xf>
    <xf numFmtId="0" fontId="22" fillId="2" borderId="0" xfId="0" applyFont="1" applyFill="1" applyAlignment="1">
      <alignment vertical="center"/>
    </xf>
    <xf numFmtId="1" fontId="22" fillId="2" borderId="0" xfId="0" applyNumberFormat="1" applyFont="1" applyFill="1" applyAlignment="1">
      <alignment horizontal="right" vertical="center" wrapText="1"/>
    </xf>
    <xf numFmtId="0" fontId="20" fillId="0" borderId="0" xfId="0" applyFont="1" applyAlignment="1">
      <alignment horizontal="left" vertical="center" indent="2"/>
    </xf>
    <xf numFmtId="1" fontId="20" fillId="0" borderId="0" xfId="0" applyNumberFormat="1" applyFont="1" applyAlignment="1">
      <alignment vertical="center"/>
    </xf>
    <xf numFmtId="1" fontId="22" fillId="2" borderId="0" xfId="0" applyNumberFormat="1" applyFont="1" applyFill="1" applyAlignment="1">
      <alignment horizontal="right" vertical="center"/>
    </xf>
    <xf numFmtId="0" fontId="22" fillId="0" borderId="0" xfId="6" applyFont="1" applyBorder="1"/>
    <xf numFmtId="0" fontId="22" fillId="0" borderId="0" xfId="6" applyFont="1" applyBorder="1" applyAlignment="1">
      <alignment horizontal="right" vertical="center"/>
    </xf>
    <xf numFmtId="17" fontId="20" fillId="0" borderId="0" xfId="0" applyNumberFormat="1" applyFont="1" applyAlignment="1">
      <alignment horizontal="left" vertical="center" wrapText="1"/>
    </xf>
    <xf numFmtId="1" fontId="0" fillId="0" borderId="0" xfId="0" applyNumberFormat="1"/>
    <xf numFmtId="0" fontId="13" fillId="0" borderId="0" xfId="0" applyFont="1" applyAlignment="1">
      <alignment wrapText="1"/>
    </xf>
    <xf numFmtId="3" fontId="20" fillId="0" borderId="0" xfId="0" applyNumberFormat="1" applyFont="1" applyAlignment="1">
      <alignment horizontal="right" vertical="top" wrapText="1"/>
    </xf>
    <xf numFmtId="1" fontId="20" fillId="0" borderId="0" xfId="0" applyNumberFormat="1" applyFont="1" applyAlignment="1">
      <alignment horizontal="right" vertical="top" wrapText="1"/>
    </xf>
    <xf numFmtId="3" fontId="22" fillId="2" borderId="0" xfId="0" applyNumberFormat="1" applyFont="1" applyFill="1" applyAlignment="1">
      <alignment horizontal="right" vertical="top"/>
    </xf>
    <xf numFmtId="1" fontId="20" fillId="0" borderId="0" xfId="0" applyNumberFormat="1" applyFont="1" applyAlignment="1">
      <alignment horizontal="right" vertical="center" wrapText="1"/>
    </xf>
    <xf numFmtId="3" fontId="20" fillId="7" borderId="0" xfId="0" applyNumberFormat="1" applyFont="1" applyFill="1" applyAlignment="1">
      <alignment horizontal="right" vertical="center" wrapText="1"/>
    </xf>
    <xf numFmtId="0" fontId="20" fillId="0" borderId="0" xfId="0" applyFont="1" applyAlignment="1">
      <alignment horizontal="right" vertical="top" wrapText="1"/>
    </xf>
    <xf numFmtId="3" fontId="20" fillId="7" borderId="0" xfId="0" applyNumberFormat="1" applyFont="1" applyFill="1" applyAlignment="1">
      <alignment horizontal="right" vertical="center"/>
    </xf>
    <xf numFmtId="9" fontId="20" fillId="0" borderId="0" xfId="1" applyFont="1" applyFill="1" applyBorder="1" applyAlignment="1">
      <alignment horizontal="right" vertical="top" wrapText="1"/>
    </xf>
    <xf numFmtId="9" fontId="22" fillId="2" borderId="0" xfId="1" applyFont="1" applyFill="1" applyBorder="1" applyAlignment="1">
      <alignment horizontal="right" vertical="top"/>
    </xf>
    <xf numFmtId="9" fontId="20" fillId="0" borderId="0" xfId="1" applyFont="1" applyFill="1" applyBorder="1" applyAlignment="1">
      <alignment horizontal="right" vertical="center" wrapText="1"/>
    </xf>
    <xf numFmtId="9" fontId="22" fillId="2" borderId="0" xfId="1" applyFont="1" applyFill="1" applyBorder="1" applyAlignment="1">
      <alignment horizontal="right" vertical="center"/>
    </xf>
    <xf numFmtId="0" fontId="7" fillId="0" borderId="0" xfId="0" applyFont="1" applyAlignment="1">
      <alignment wrapText="1"/>
    </xf>
    <xf numFmtId="0" fontId="5" fillId="0" borderId="0" xfId="0" applyFont="1" applyAlignment="1">
      <alignment horizontal="left" wrapText="1"/>
    </xf>
    <xf numFmtId="0" fontId="7" fillId="12" borderId="0" xfId="0" applyFont="1" applyFill="1" applyAlignment="1">
      <alignment horizontal="left" vertical="center" wrapText="1"/>
    </xf>
    <xf numFmtId="0" fontId="7" fillId="12" borderId="0" xfId="0" applyFont="1" applyFill="1" applyAlignment="1">
      <alignment wrapText="1"/>
    </xf>
    <xf numFmtId="0" fontId="7" fillId="9" borderId="9" xfId="0" applyFont="1" applyFill="1" applyBorder="1" applyAlignment="1">
      <alignment horizontal="left"/>
    </xf>
    <xf numFmtId="0" fontId="7" fillId="0" borderId="0" xfId="0" applyFont="1" applyAlignment="1">
      <alignment horizontal="left" wrapText="1"/>
    </xf>
    <xf numFmtId="0" fontId="7" fillId="12" borderId="4" xfId="0" applyFont="1" applyFill="1" applyBorder="1" applyAlignment="1">
      <alignment wrapText="1"/>
    </xf>
    <xf numFmtId="0" fontId="7" fillId="12" borderId="2" xfId="0" applyFont="1" applyFill="1" applyBorder="1" applyAlignment="1">
      <alignment wrapText="1"/>
    </xf>
    <xf numFmtId="0" fontId="7" fillId="12" borderId="5" xfId="0" applyFont="1" applyFill="1" applyBorder="1" applyAlignment="1">
      <alignment wrapText="1"/>
    </xf>
    <xf numFmtId="0" fontId="22" fillId="2" borderId="12" xfId="0" applyFont="1" applyFill="1" applyBorder="1" applyAlignment="1">
      <alignment wrapText="1"/>
    </xf>
    <xf numFmtId="1" fontId="22" fillId="2" borderId="3" xfId="0" applyNumberFormat="1" applyFont="1" applyFill="1" applyBorder="1" applyAlignment="1">
      <alignment horizontal="right" wrapText="1"/>
    </xf>
    <xf numFmtId="1" fontId="22" fillId="2" borderId="3" xfId="0" applyNumberFormat="1" applyFont="1" applyFill="1" applyBorder="1" applyAlignment="1">
      <alignment horizontal="right"/>
    </xf>
    <xf numFmtId="0" fontId="22" fillId="2" borderId="13" xfId="0" applyFont="1" applyFill="1" applyBorder="1" applyAlignment="1">
      <alignment horizontal="right"/>
    </xf>
    <xf numFmtId="1" fontId="20" fillId="0" borderId="7" xfId="0" applyNumberFormat="1" applyFont="1" applyBorder="1" applyAlignment="1">
      <alignment horizontal="right" wrapText="1"/>
    </xf>
    <xf numFmtId="1" fontId="20" fillId="3" borderId="7" xfId="0" applyNumberFormat="1" applyFont="1" applyFill="1" applyBorder="1" applyAlignment="1">
      <alignment horizontal="right" wrapText="1"/>
    </xf>
    <xf numFmtId="1" fontId="20" fillId="0" borderId="7" xfId="0" applyNumberFormat="1" applyFont="1" applyBorder="1" applyAlignment="1">
      <alignment horizontal="right"/>
    </xf>
    <xf numFmtId="1" fontId="20" fillId="3" borderId="7" xfId="0" applyNumberFormat="1" applyFont="1" applyFill="1" applyBorder="1" applyAlignment="1">
      <alignment horizontal="right"/>
    </xf>
    <xf numFmtId="0" fontId="20" fillId="0" borderId="8" xfId="0" applyFont="1" applyBorder="1" applyAlignment="1">
      <alignment horizontal="right"/>
    </xf>
    <xf numFmtId="0" fontId="22" fillId="2" borderId="6" xfId="0" applyFont="1" applyFill="1" applyBorder="1" applyAlignment="1">
      <alignment wrapText="1"/>
    </xf>
    <xf numFmtId="1" fontId="22" fillId="2" borderId="7" xfId="0" applyNumberFormat="1" applyFont="1" applyFill="1" applyBorder="1" applyAlignment="1">
      <alignment horizontal="right" wrapText="1"/>
    </xf>
    <xf numFmtId="1" fontId="22" fillId="2" borderId="7" xfId="0" applyNumberFormat="1" applyFont="1" applyFill="1" applyBorder="1" applyAlignment="1">
      <alignment horizontal="right"/>
    </xf>
    <xf numFmtId="0" fontId="22" fillId="2" borderId="8" xfId="0" applyFont="1" applyFill="1" applyBorder="1" applyAlignment="1">
      <alignment horizontal="right"/>
    </xf>
    <xf numFmtId="0" fontId="7" fillId="12" borderId="6" xfId="0" applyFont="1" applyFill="1" applyBorder="1" applyAlignment="1">
      <alignment wrapText="1"/>
    </xf>
    <xf numFmtId="1" fontId="7" fillId="12" borderId="7" xfId="0" applyNumberFormat="1" applyFont="1" applyFill="1" applyBorder="1" applyAlignment="1">
      <alignment horizontal="right" wrapText="1"/>
    </xf>
    <xf numFmtId="0" fontId="7" fillId="12" borderId="8" xfId="0" applyFont="1" applyFill="1" applyBorder="1" applyAlignment="1">
      <alignment horizontal="right" wrapText="1"/>
    </xf>
    <xf numFmtId="0" fontId="20" fillId="0" borderId="6" xfId="0" applyFont="1" applyBorder="1" applyAlignment="1">
      <alignment vertical="top" wrapText="1"/>
    </xf>
    <xf numFmtId="1" fontId="20" fillId="0" borderId="7" xfId="0" applyNumberFormat="1" applyFont="1" applyBorder="1" applyAlignment="1">
      <alignment horizontal="right" vertical="top" wrapText="1"/>
    </xf>
    <xf numFmtId="1" fontId="20" fillId="3" borderId="7" xfId="0" applyNumberFormat="1" applyFont="1" applyFill="1" applyBorder="1" applyAlignment="1">
      <alignment horizontal="right" vertical="top" wrapText="1"/>
    </xf>
    <xf numFmtId="0" fontId="20" fillId="0" borderId="8" xfId="0" applyFont="1" applyBorder="1" applyAlignment="1">
      <alignment horizontal="right" vertical="top" wrapText="1"/>
    </xf>
    <xf numFmtId="0" fontId="20" fillId="5" borderId="7" xfId="0" applyFont="1" applyFill="1" applyBorder="1" applyAlignment="1">
      <alignment horizontal="left" vertical="center"/>
    </xf>
    <xf numFmtId="0" fontId="7" fillId="13" borderId="6" xfId="0" applyFont="1" applyFill="1" applyBorder="1" applyAlignment="1">
      <alignment horizontal="left" vertical="center"/>
    </xf>
    <xf numFmtId="0" fontId="8" fillId="13" borderId="7" xfId="0" applyFont="1" applyFill="1" applyBorder="1" applyAlignment="1">
      <alignment horizontal="left" vertical="center"/>
    </xf>
    <xf numFmtId="0" fontId="7" fillId="13" borderId="7" xfId="0" applyFont="1" applyFill="1" applyBorder="1" applyAlignment="1">
      <alignment horizontal="left" vertical="center"/>
    </xf>
    <xf numFmtId="0" fontId="7" fillId="13" borderId="8" xfId="0" applyFont="1" applyFill="1" applyBorder="1" applyAlignment="1">
      <alignment horizontal="left" vertical="center"/>
    </xf>
    <xf numFmtId="1" fontId="22" fillId="0" borderId="0" xfId="0" applyNumberFormat="1" applyFont="1" applyAlignment="1">
      <alignment horizontal="right" vertical="center"/>
    </xf>
    <xf numFmtId="2" fontId="22" fillId="2" borderId="0" xfId="0" applyNumberFormat="1" applyFont="1" applyFill="1" applyAlignment="1">
      <alignment vertical="center"/>
    </xf>
    <xf numFmtId="1" fontId="22" fillId="2" borderId="0" xfId="0" applyNumberFormat="1" applyFont="1" applyFill="1" applyAlignment="1">
      <alignment vertical="center"/>
    </xf>
    <xf numFmtId="1" fontId="20" fillId="5" borderId="0" xfId="0" applyNumberFormat="1" applyFont="1" applyFill="1" applyAlignment="1">
      <alignment horizontal="right" vertical="center"/>
    </xf>
    <xf numFmtId="2" fontId="22" fillId="0" borderId="0" xfId="6" applyNumberFormat="1" applyFont="1" applyBorder="1" applyAlignment="1">
      <alignment horizontal="right"/>
    </xf>
    <xf numFmtId="2" fontId="22" fillId="0" borderId="0" xfId="6" applyNumberFormat="1" applyFont="1" applyFill="1" applyBorder="1"/>
    <xf numFmtId="0" fontId="39" fillId="0" borderId="2" xfId="0" applyFont="1" applyBorder="1" applyAlignment="1">
      <alignment horizontal="left" vertical="top" wrapText="1"/>
    </xf>
    <xf numFmtId="0" fontId="20" fillId="0" borderId="7" xfId="0" quotePrefix="1" applyFont="1" applyBorder="1" applyAlignment="1">
      <alignment horizontal="left" vertical="top" wrapText="1"/>
    </xf>
    <xf numFmtId="0" fontId="20" fillId="2" borderId="9" xfId="0" applyFont="1" applyFill="1" applyBorder="1" applyAlignment="1">
      <alignment vertical="center" wrapText="1"/>
    </xf>
    <xf numFmtId="0" fontId="22" fillId="0" borderId="18" xfId="0" applyFont="1" applyBorder="1" applyAlignment="1">
      <alignment vertical="center" wrapText="1"/>
    </xf>
    <xf numFmtId="0" fontId="22" fillId="0" borderId="18" xfId="0" applyFont="1" applyBorder="1" applyAlignment="1">
      <alignment horizontal="right" vertical="center"/>
    </xf>
    <xf numFmtId="0" fontId="22" fillId="0" borderId="18" xfId="0" applyFont="1" applyBorder="1" applyAlignment="1">
      <alignment vertical="center"/>
    </xf>
    <xf numFmtId="3" fontId="22" fillId="0" borderId="18" xfId="0" applyNumberFormat="1" applyFont="1" applyBorder="1" applyAlignment="1">
      <alignment horizontal="right" vertical="center"/>
    </xf>
    <xf numFmtId="0" fontId="22" fillId="0" borderId="0" xfId="0" applyFont="1" applyAlignment="1">
      <alignment horizontal="left" vertical="center" indent="2"/>
    </xf>
    <xf numFmtId="1" fontId="22" fillId="0" borderId="0" xfId="0" applyNumberFormat="1" applyFont="1" applyAlignment="1">
      <alignment horizontal="center" vertical="center"/>
    </xf>
    <xf numFmtId="0" fontId="19" fillId="0" borderId="0" xfId="0" applyFont="1" applyAlignment="1">
      <alignment horizontal="right" vertical="center" wrapText="1"/>
    </xf>
    <xf numFmtId="0" fontId="27" fillId="0" borderId="2" xfId="0" applyFont="1" applyBorder="1" applyAlignment="1">
      <alignment horizontal="left" vertical="top" wrapText="1"/>
    </xf>
    <xf numFmtId="0" fontId="20" fillId="0" borderId="0" xfId="0" quotePrefix="1" applyFont="1" applyAlignment="1">
      <alignment horizontal="left" vertical="top" wrapText="1"/>
    </xf>
    <xf numFmtId="0" fontId="21" fillId="0" borderId="23" xfId="5" applyFont="1" applyBorder="1" applyAlignment="1">
      <alignment horizontal="left"/>
    </xf>
    <xf numFmtId="0" fontId="20" fillId="0" borderId="0" xfId="0" applyFont="1" applyAlignment="1">
      <alignment horizontal="left" vertical="top" wrapText="1"/>
    </xf>
    <xf numFmtId="0" fontId="21" fillId="0" borderId="0" xfId="5" applyFont="1" applyBorder="1" applyAlignment="1">
      <alignment horizontal="left"/>
    </xf>
    <xf numFmtId="0" fontId="20" fillId="0" borderId="22" xfId="0" applyFont="1" applyBorder="1" applyAlignment="1">
      <alignment horizontal="left" vertical="top" wrapText="1"/>
    </xf>
    <xf numFmtId="0" fontId="38" fillId="0" borderId="32" xfId="5" applyFont="1" applyBorder="1" applyAlignment="1">
      <alignment horizontal="left"/>
    </xf>
    <xf numFmtId="0" fontId="18" fillId="0" borderId="32" xfId="2" applyFont="1" applyBorder="1" applyAlignment="1">
      <alignment horizontal="left" wrapText="1"/>
    </xf>
    <xf numFmtId="0" fontId="18" fillId="0" borderId="32" xfId="2" applyFont="1" applyBorder="1" applyAlignment="1">
      <alignment horizontal="left"/>
    </xf>
    <xf numFmtId="0" fontId="20" fillId="2" borderId="14" xfId="0" applyFont="1" applyFill="1" applyBorder="1" applyAlignment="1">
      <alignment vertical="center" wrapText="1"/>
    </xf>
    <xf numFmtId="0" fontId="20" fillId="2" borderId="0" xfId="0" applyFont="1" applyFill="1" applyAlignment="1">
      <alignment vertical="center" wrapText="1"/>
    </xf>
    <xf numFmtId="0" fontId="20" fillId="2" borderId="15" xfId="0" applyFont="1" applyFill="1" applyBorder="1" applyAlignment="1">
      <alignment vertical="center" wrapText="1"/>
    </xf>
    <xf numFmtId="0" fontId="20" fillId="0" borderId="14"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right" vertical="center" wrapText="1"/>
    </xf>
    <xf numFmtId="0" fontId="20" fillId="0" borderId="15" xfId="0" applyFont="1" applyBorder="1" applyAlignment="1">
      <alignment horizontal="right" vertical="center" wrapText="1"/>
    </xf>
    <xf numFmtId="0" fontId="20" fillId="0" borderId="24" xfId="0" applyFont="1" applyBorder="1" applyAlignment="1">
      <alignment horizontal="left" vertical="top"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0" fillId="0" borderId="31" xfId="0" applyFont="1" applyBorder="1" applyAlignment="1">
      <alignment horizontal="left" vertical="center" wrapText="1"/>
    </xf>
    <xf numFmtId="0" fontId="20" fillId="0" borderId="26" xfId="0" applyFont="1" applyBorder="1" applyAlignment="1">
      <alignment horizontal="left" vertical="top" wrapText="1"/>
    </xf>
    <xf numFmtId="0" fontId="20" fillId="0" borderId="28" xfId="0" applyFont="1" applyBorder="1" applyAlignment="1">
      <alignment horizontal="left" vertical="top" wrapText="1"/>
    </xf>
    <xf numFmtId="0" fontId="20" fillId="0" borderId="0" xfId="0" applyFont="1" applyAlignment="1">
      <alignment horizontal="left" vertical="center" wrapText="1"/>
    </xf>
    <xf numFmtId="0" fontId="20" fillId="0" borderId="0" xfId="0" applyFont="1" applyAlignment="1">
      <alignment horizontal="left" wrapText="1"/>
    </xf>
    <xf numFmtId="0" fontId="20" fillId="0" borderId="0" xfId="0" applyFont="1" applyAlignment="1">
      <alignment horizontal="left"/>
    </xf>
    <xf numFmtId="0" fontId="22" fillId="0" borderId="12" xfId="0" applyFont="1" applyBorder="1" applyAlignment="1">
      <alignment vertical="center" wrapText="1"/>
    </xf>
    <xf numFmtId="0" fontId="22" fillId="0" borderId="3" xfId="0" applyFont="1" applyBorder="1" applyAlignment="1">
      <alignment vertical="center" wrapText="1"/>
    </xf>
    <xf numFmtId="0" fontId="22" fillId="0" borderId="3"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0" xfId="0" applyFont="1" applyAlignment="1">
      <alignment horizontal="left" wrapText="1"/>
    </xf>
    <xf numFmtId="0" fontId="20" fillId="5" borderId="0" xfId="0" applyFont="1" applyFill="1" applyAlignment="1">
      <alignment vertical="center" wrapText="1"/>
    </xf>
    <xf numFmtId="0" fontId="20" fillId="5" borderId="0" xfId="0" applyFont="1" applyFill="1" applyAlignment="1">
      <alignment vertical="center"/>
    </xf>
    <xf numFmtId="0" fontId="20" fillId="0" borderId="5" xfId="0" applyFont="1" applyBorder="1" applyAlignment="1">
      <alignment horizontal="left" vertical="center" wrapText="1"/>
    </xf>
    <xf numFmtId="0" fontId="20" fillId="0" borderId="13"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Alignment="1">
      <alignment horizontal="left" vertical="center"/>
    </xf>
    <xf numFmtId="0" fontId="22" fillId="0" borderId="9" xfId="0" applyFont="1" applyBorder="1" applyAlignment="1">
      <alignment vertical="center" wrapText="1"/>
    </xf>
    <xf numFmtId="0" fontId="7" fillId="9" borderId="9"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8" xfId="0" applyFont="1" applyFill="1" applyBorder="1" applyAlignment="1">
      <alignment horizontal="center" vertical="center" wrapText="1"/>
    </xf>
    <xf numFmtId="3" fontId="20" fillId="0" borderId="9" xfId="0" applyNumberFormat="1" applyFont="1" applyBorder="1" applyAlignment="1">
      <alignment horizontal="center" vertical="center" wrapText="1"/>
    </xf>
    <xf numFmtId="2" fontId="20" fillId="2" borderId="9" xfId="0" applyNumberFormat="1" applyFont="1" applyFill="1" applyBorder="1" applyAlignment="1">
      <alignment horizontal="center" vertical="center" wrapText="1"/>
    </xf>
    <xf numFmtId="0" fontId="22" fillId="2" borderId="6"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0" fillId="0" borderId="2" xfId="0" applyFont="1" applyBorder="1" applyAlignment="1">
      <alignment horizontal="left" vertical="top" wrapText="1"/>
    </xf>
    <xf numFmtId="0" fontId="22" fillId="0" borderId="18" xfId="6" applyFont="1" applyFill="1" applyAlignment="1">
      <alignment horizontal="left" vertical="top" wrapText="1"/>
    </xf>
    <xf numFmtId="0" fontId="31" fillId="0" borderId="0" xfId="0" applyFont="1" applyAlignment="1">
      <alignment horizontal="left" vertical="center" wrapText="1"/>
    </xf>
    <xf numFmtId="0" fontId="20" fillId="0" borderId="0" xfId="0" applyFont="1" applyAlignment="1">
      <alignment horizontal="left" vertical="top"/>
    </xf>
    <xf numFmtId="0" fontId="32" fillId="0" borderId="0" xfId="4" applyFont="1" applyFill="1" applyBorder="1" applyAlignment="1">
      <alignment horizontal="left" vertical="center" wrapText="1" indent="2"/>
    </xf>
    <xf numFmtId="0" fontId="37" fillId="0" borderId="0" xfId="0" applyFont="1" applyAlignment="1">
      <alignment vertical="top" wrapText="1"/>
    </xf>
    <xf numFmtId="0" fontId="37" fillId="0" borderId="0" xfId="0" applyFont="1" applyAlignment="1">
      <alignment vertical="top"/>
    </xf>
    <xf numFmtId="0" fontId="37" fillId="0" borderId="9" xfId="0" applyFont="1" applyBorder="1" applyAlignment="1">
      <alignment horizontal="right" vertical="center"/>
    </xf>
    <xf numFmtId="0" fontId="36" fillId="0" borderId="9" xfId="0" applyFont="1" applyBorder="1" applyAlignment="1">
      <alignment horizontal="right" vertical="center"/>
    </xf>
    <xf numFmtId="0" fontId="33" fillId="0" borderId="32" xfId="2" applyFont="1" applyBorder="1" applyAlignment="1">
      <alignment horizontal="left" wrapText="1"/>
    </xf>
    <xf numFmtId="0" fontId="33" fillId="0" borderId="32" xfId="2" applyFont="1" applyBorder="1" applyAlignment="1">
      <alignment horizontal="left"/>
    </xf>
    <xf numFmtId="0" fontId="36" fillId="0" borderId="0" xfId="0" applyFont="1" applyAlignment="1">
      <alignment vertical="center"/>
    </xf>
    <xf numFmtId="0" fontId="34" fillId="0" borderId="0" xfId="0" applyFont="1"/>
    <xf numFmtId="0" fontId="7" fillId="9" borderId="9" xfId="0" applyFont="1" applyFill="1" applyBorder="1" applyAlignment="1">
      <alignment horizontal="left" vertical="center"/>
    </xf>
    <xf numFmtId="0" fontId="36" fillId="0" borderId="9" xfId="0" applyFont="1" applyBorder="1" applyAlignment="1">
      <alignment vertical="center"/>
    </xf>
    <xf numFmtId="0" fontId="36" fillId="8" borderId="9" xfId="0" applyFont="1" applyFill="1" applyBorder="1" applyAlignment="1">
      <alignment horizontal="left" vertical="center" wrapText="1"/>
    </xf>
    <xf numFmtId="0" fontId="7" fillId="9" borderId="9" xfId="0" applyFont="1" applyFill="1" applyBorder="1" applyAlignment="1">
      <alignment vertical="center" wrapText="1"/>
    </xf>
    <xf numFmtId="0" fontId="7" fillId="9" borderId="9" xfId="0" applyFont="1" applyFill="1" applyBorder="1" applyAlignment="1">
      <alignment horizontal="left" vertical="center" wrapText="1"/>
    </xf>
    <xf numFmtId="0" fontId="37" fillId="0" borderId="9" xfId="0" applyFont="1" applyBorder="1" applyAlignment="1">
      <alignment horizontal="right" vertical="center" wrapText="1"/>
    </xf>
    <xf numFmtId="10" fontId="37" fillId="0" borderId="9" xfId="0" applyNumberFormat="1" applyFont="1" applyBorder="1" applyAlignment="1">
      <alignment horizontal="right" vertical="center" wrapText="1"/>
    </xf>
    <xf numFmtId="0" fontId="37" fillId="0" borderId="0" xfId="0" applyFont="1" applyAlignment="1">
      <alignment horizontal="left" vertical="center" wrapText="1" indent="2"/>
    </xf>
    <xf numFmtId="0" fontId="36" fillId="5" borderId="0" xfId="0" applyFont="1" applyFill="1" applyAlignment="1">
      <alignment horizontal="left" vertical="center" wrapText="1"/>
    </xf>
    <xf numFmtId="0" fontId="36" fillId="5" borderId="0" xfId="0" applyFont="1" applyFill="1" applyAlignment="1">
      <alignment vertical="center" wrapText="1"/>
    </xf>
    <xf numFmtId="0" fontId="37" fillId="0" borderId="0" xfId="0" applyFont="1" applyAlignment="1">
      <alignment vertical="center" wrapText="1"/>
    </xf>
    <xf numFmtId="10" fontId="37" fillId="0" borderId="9" xfId="0" applyNumberFormat="1" applyFont="1" applyBorder="1" applyAlignment="1">
      <alignment horizontal="right" vertical="center"/>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0" fontId="37" fillId="0" borderId="6" xfId="0" applyFont="1" applyBorder="1" applyAlignment="1">
      <alignment horizontal="right" vertical="center"/>
    </xf>
    <xf numFmtId="0" fontId="37" fillId="0" borderId="8" xfId="0" applyFont="1" applyBorder="1" applyAlignment="1">
      <alignment horizontal="right" vertical="center"/>
    </xf>
    <xf numFmtId="0" fontId="36" fillId="0" borderId="6" xfId="0" applyFont="1" applyBorder="1" applyAlignment="1">
      <alignment horizontal="right" vertical="center"/>
    </xf>
    <xf numFmtId="0" fontId="36" fillId="0" borderId="8" xfId="0" applyFont="1" applyBorder="1" applyAlignment="1">
      <alignment horizontal="right" vertical="center"/>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9" xfId="0" applyFont="1" applyFill="1" applyBorder="1" applyAlignment="1">
      <alignment horizontal="center" wrapText="1"/>
    </xf>
    <xf numFmtId="0" fontId="18" fillId="0" borderId="1" xfId="2" applyFont="1" applyAlignment="1">
      <alignment horizontal="left" wrapText="1"/>
    </xf>
    <xf numFmtId="0" fontId="18" fillId="0" borderId="1" xfId="2" applyFont="1" applyAlignment="1">
      <alignment horizontal="left"/>
    </xf>
    <xf numFmtId="0" fontId="20" fillId="0" borderId="15" xfId="0" applyFont="1" applyBorder="1" applyAlignment="1">
      <alignment vertical="center" wrapText="1"/>
    </xf>
    <xf numFmtId="0" fontId="20" fillId="4" borderId="0" xfId="0" quotePrefix="1" applyFont="1" applyFill="1" applyAlignment="1">
      <alignment vertical="center" wrapText="1"/>
    </xf>
    <xf numFmtId="0" fontId="20" fillId="4" borderId="15" xfId="0" applyFont="1" applyFill="1" applyBorder="1" applyAlignment="1">
      <alignment vertical="center" wrapText="1"/>
    </xf>
    <xf numFmtId="0" fontId="20" fillId="4" borderId="0" xfId="0" applyFont="1" applyFill="1" applyAlignment="1">
      <alignment vertical="center" wrapText="1"/>
    </xf>
    <xf numFmtId="0" fontId="20" fillId="0" borderId="3" xfId="0" applyFont="1" applyBorder="1" applyAlignment="1">
      <alignment vertical="center" wrapText="1"/>
    </xf>
    <xf numFmtId="0" fontId="20" fillId="0" borderId="13" xfId="0" applyFont="1" applyBorder="1" applyAlignment="1">
      <alignment vertical="center" wrapText="1"/>
    </xf>
    <xf numFmtId="0" fontId="20" fillId="0" borderId="0" xfId="0" applyFont="1" applyAlignment="1">
      <alignment vertical="center"/>
    </xf>
    <xf numFmtId="0" fontId="20" fillId="0" borderId="0" xfId="0" applyFont="1" applyAlignment="1">
      <alignment horizontal="left" vertical="center" indent="2"/>
    </xf>
    <xf numFmtId="0" fontId="20" fillId="0" borderId="20" xfId="0" applyFont="1" applyBorder="1" applyAlignment="1">
      <alignment horizontal="left" vertical="center" wrapText="1"/>
    </xf>
    <xf numFmtId="0" fontId="20" fillId="0" borderId="0" xfId="0" applyFont="1" applyAlignment="1">
      <alignment vertical="top" wrapText="1"/>
    </xf>
    <xf numFmtId="0" fontId="20" fillId="0" borderId="0" xfId="0" applyFont="1" applyAlignment="1">
      <alignment horizontal="left" vertical="center" wrapText="1" indent="5"/>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20" fillId="2" borderId="8" xfId="0" applyFont="1" applyFill="1" applyBorder="1" applyAlignment="1">
      <alignment horizontal="left" vertical="center"/>
    </xf>
    <xf numFmtId="0" fontId="20" fillId="0" borderId="2" xfId="0" applyFont="1" applyBorder="1" applyAlignment="1">
      <alignment horizontal="left" wrapText="1"/>
    </xf>
    <xf numFmtId="0" fontId="7" fillId="12" borderId="0" xfId="0" applyFont="1" applyFill="1" applyAlignment="1">
      <alignment horizontal="left" vertical="center" wrapText="1"/>
    </xf>
    <xf numFmtId="0" fontId="7" fillId="12" borderId="0" xfId="0" applyFont="1" applyFill="1" applyAlignment="1">
      <alignment horizontal="center" wrapText="1"/>
    </xf>
    <xf numFmtId="0" fontId="7" fillId="12" borderId="0" xfId="0" applyFont="1" applyFill="1" applyAlignment="1">
      <alignment horizontal="center"/>
    </xf>
    <xf numFmtId="0" fontId="20" fillId="0" borderId="6" xfId="0" applyFont="1" applyBorder="1" applyAlignment="1">
      <alignment horizontal="left" vertical="top"/>
    </xf>
    <xf numFmtId="0" fontId="12" fillId="0" borderId="0" xfId="0" quotePrefix="1" applyFont="1" applyAlignment="1">
      <alignment horizontal="left" vertical="top" wrapText="1"/>
    </xf>
    <xf numFmtId="0" fontId="12" fillId="0" borderId="0" xfId="0" applyFont="1" applyAlignment="1">
      <alignment horizontal="left" vertical="top" wrapText="1"/>
    </xf>
    <xf numFmtId="0" fontId="20" fillId="0" borderId="0" xfId="0" quotePrefix="1" applyFont="1" applyAlignment="1">
      <alignment horizontal="left" vertical="top" wrapText="1"/>
    </xf>
  </cellXfs>
  <cellStyles count="7">
    <cellStyle name="Heading 1" xfId="2" builtinId="16"/>
    <cellStyle name="Heading 2" xfId="5" builtinId="17"/>
    <cellStyle name="Heading 4" xfId="3" builtinId="19"/>
    <cellStyle name="Hyperlink" xfId="4" builtinId="8"/>
    <cellStyle name="Normal" xfId="0" builtinId="0"/>
    <cellStyle name="Percent" xfId="1" builtinId="5"/>
    <cellStyle name="Total" xfId="6" builtinId="25"/>
  </cellStyles>
  <dxfs count="417">
    <dxf>
      <font>
        <b/>
        <i val="0"/>
        <strike val="0"/>
        <condense val="0"/>
        <extend val="0"/>
        <outline val="0"/>
        <shadow val="0"/>
        <u val="none"/>
        <vertAlign val="baseline"/>
        <sz val="9"/>
        <color rgb="FF36256E"/>
        <name val="Calibri"/>
        <family val="2"/>
        <scheme val="minor"/>
      </font>
      <numFmt numFmtId="2" formatCode="0.00"/>
      <fill>
        <patternFill patternType="solid">
          <fgColor indexed="64"/>
          <bgColor theme="9"/>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textRotation="0"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textRotation="0" indent="0" justifyLastLine="0" shrinkToFit="0" readingOrder="0"/>
    </dxf>
    <dxf>
      <font>
        <b/>
        <i val="0"/>
        <strike val="0"/>
        <condense val="0"/>
        <extend val="0"/>
        <outline val="0"/>
        <shadow val="0"/>
        <u val="none"/>
        <vertAlign val="baseline"/>
        <sz val="9"/>
        <color rgb="FF36256E"/>
        <name val="Calibri"/>
        <family val="2"/>
        <scheme val="minor"/>
      </font>
      <numFmt numFmtId="3" formatCode="#,##0"/>
      <fill>
        <patternFill patternType="solid">
          <fgColor indexed="64"/>
          <bgColor theme="9"/>
        </patternFill>
      </fill>
      <alignment horizontal="right" vertical="top"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right" vertical="top" textRotation="0" wrapText="1"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general" vertical="bottom" textRotation="0" wrapText="1" indent="0" justifyLastLine="0" shrinkToFit="0" readingOrder="0"/>
    </dxf>
    <dxf>
      <border outline="0">
        <top style="thin">
          <color theme="7"/>
        </top>
      </border>
    </dxf>
    <dxf>
      <border outline="0">
        <left style="thin">
          <color theme="7"/>
        </left>
        <right style="thin">
          <color theme="7"/>
        </right>
        <top style="thin">
          <color theme="7"/>
        </top>
        <bottom style="thin">
          <color theme="7"/>
        </bottom>
      </border>
    </dxf>
    <dxf>
      <font>
        <strike val="0"/>
        <outline val="0"/>
        <shadow val="0"/>
        <u val="none"/>
        <vertAlign val="baseline"/>
        <sz val="9"/>
        <name val="Calibri"/>
        <family val="2"/>
        <scheme val="minor"/>
      </font>
      <fill>
        <patternFill patternType="none">
          <fgColor indexed="64"/>
          <bgColor auto="1"/>
        </patternFill>
      </fill>
    </dxf>
    <dxf>
      <border outline="0">
        <bottom style="thin">
          <color theme="7"/>
        </bottom>
      </border>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bottom"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border diagonalUp="0" diagonalDown="0" outline="0">
        <left/>
        <right/>
        <top/>
        <bottom/>
      </border>
    </dxf>
    <dxf>
      <font>
        <strike val="0"/>
        <outline val="0"/>
        <shadow val="0"/>
        <u val="none"/>
        <vertAlign val="baseline"/>
        <sz val="9"/>
        <color rgb="FF36256E"/>
        <name val="Calibri"/>
        <family val="2"/>
        <scheme val="minor"/>
      </font>
    </dxf>
    <dxf>
      <font>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border diagonalUp="0" diagonalDown="0">
        <left style="thin">
          <color rgb="FF36256E"/>
        </left>
        <right style="thin">
          <color rgb="FF36256E"/>
        </right>
        <top/>
        <bottom/>
        <vertical style="thin">
          <color rgb="FF36256E"/>
        </vertical>
        <horizontal style="thin">
          <color rgb="FF36256E"/>
        </horizontal>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22" formatCode="mmm\-yy"/>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alignment horizontal="right" vertical="center" textRotation="0" wrapText="1" indent="0" justifyLastLine="0" shrinkToFit="0" readingOrder="0"/>
    </dxf>
    <dxf>
      <font>
        <strike val="0"/>
        <outline val="0"/>
        <shadow val="0"/>
        <u val="none"/>
        <vertAlign val="baseline"/>
        <color rgb="FF36256E"/>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border diagonalUp="0" diagonalDown="0">
        <left style="thin">
          <color rgb="FF36256E"/>
        </left>
        <right style="thin">
          <color rgb="FF36256E"/>
        </right>
        <top/>
        <bottom/>
        <vertical style="thin">
          <color rgb="FF36256E"/>
        </vertical>
        <horizontal style="thin">
          <color rgb="FF36256E"/>
        </horizontal>
      </border>
    </dxf>
    <dxf>
      <font>
        <b/>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2"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2"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color rgb="FF36256E"/>
        <name val="Calibri"/>
        <family val="2"/>
        <scheme val="minor"/>
      </font>
      <fill>
        <patternFill patternType="none">
          <fgColor indexed="64"/>
          <bgColor auto="1"/>
        </patternFill>
      </fill>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border diagonalUp="0" diagonalDown="0">
        <left style="thin">
          <color rgb="FF36256E"/>
        </left>
        <right style="thin">
          <color rgb="FF36256E"/>
        </right>
        <top/>
        <bottom/>
        <vertical style="thin">
          <color rgb="FF36256E"/>
        </vertical>
        <horizontal style="thin">
          <color rgb="FF36256E"/>
        </horizontal>
      </border>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2" justifyLastLine="0" shrinkToFit="0" readingOrder="0"/>
    </dxf>
    <dxf>
      <font>
        <strike val="0"/>
        <outline val="0"/>
        <shadow val="0"/>
        <u val="none"/>
        <vertAlign val="baseline"/>
        <color rgb="FF36256E"/>
        <name val="Calibri"/>
        <family val="2"/>
        <scheme val="minor"/>
      </font>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border diagonalUp="0" diagonalDown="0">
        <left style="thin">
          <color rgb="FF36256E"/>
        </left>
        <right style="thin">
          <color rgb="FF36256E"/>
        </right>
        <top/>
        <bottom/>
        <vertical style="thin">
          <color rgb="FF36256E"/>
        </vertical>
        <horizontal style="thin">
          <color rgb="FF36256E"/>
        </horizontal>
      </border>
    </dxf>
    <dxf>
      <font>
        <b val="0"/>
        <i val="0"/>
        <strike val="0"/>
        <condense val="0"/>
        <extend val="0"/>
        <outline val="0"/>
        <shadow val="0"/>
        <u val="none"/>
        <vertAlign val="baseline"/>
        <sz val="9"/>
        <color rgb="FF36256E"/>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 formatCode="0"/>
      <alignment horizontal="right" vertical="center" textRotation="0" wrapText="0" indent="0" justifyLastLine="0" shrinkToFit="0" readingOrder="0"/>
    </dxf>
    <dxf>
      <font>
        <strike val="0"/>
        <outline val="0"/>
        <shadow val="0"/>
        <u val="none"/>
        <vertAlign val="baseline"/>
        <sz val="9"/>
        <color rgb="FF36256E"/>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color rgb="FF36256E"/>
        <name val="Calibri"/>
        <family val="2"/>
        <scheme val="minor"/>
      </font>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2" formatCode="0.00"/>
      <fill>
        <patternFill patternType="none">
          <fgColor indexed="64"/>
          <bgColor indexed="65"/>
        </patternFill>
      </fill>
      <border diagonalUp="0" diagonalDown="0" outline="0">
        <left/>
        <right/>
        <top/>
        <bottom/>
      </border>
    </dxf>
    <dxf>
      <font>
        <strike val="0"/>
        <outline val="0"/>
        <shadow val="0"/>
        <u val="none"/>
        <vertAlign val="baseline"/>
        <color rgb="FF36256E"/>
        <name val="Calibri"/>
        <family val="2"/>
        <scheme val="minor"/>
      </font>
      <fill>
        <patternFill patternType="none">
          <fgColor indexed="64"/>
          <bgColor auto="1"/>
        </patternFill>
      </fill>
    </dxf>
    <dxf>
      <font>
        <b/>
        <i val="0"/>
        <strike val="0"/>
        <condense val="0"/>
        <extend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border diagonalUp="0" diagonalDown="0" outline="0">
        <left/>
        <right/>
        <top/>
        <bottom/>
      </border>
    </dxf>
    <dxf>
      <font>
        <strike val="0"/>
        <outline val="0"/>
        <shadow val="0"/>
        <u val="none"/>
        <vertAlign val="baseline"/>
        <color rgb="FF36256E"/>
        <name val="Calibri"/>
        <family val="2"/>
        <scheme val="minor"/>
      </font>
      <fill>
        <patternFill patternType="none">
          <fgColor indexed="64"/>
          <bgColor auto="1"/>
        </patternFill>
      </fill>
      <alignment horizontal="right" textRotation="0" indent="0" justifyLastLine="0" shrinkToFit="0" readingOrder="0"/>
    </dxf>
    <dxf>
      <font>
        <b/>
        <i val="0"/>
        <strike val="0"/>
        <condense val="0"/>
        <extend val="0"/>
        <outline val="0"/>
        <shadow val="0"/>
        <u val="none"/>
        <vertAlign val="baseline"/>
        <sz val="9"/>
        <color rgb="FF36256E"/>
        <name val="Calibri"/>
        <family val="2"/>
        <scheme val="minor"/>
      </font>
      <border diagonalUp="0" diagonalDown="0" outline="0">
        <left/>
        <right/>
        <top/>
        <bottom/>
      </border>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sz val="9"/>
        <color rgb="FF36256E"/>
        <name val="Calibri"/>
        <family val="2"/>
        <scheme val="minor"/>
      </font>
    </dxf>
    <dxf>
      <font>
        <strike val="0"/>
        <outline val="0"/>
        <shadow val="0"/>
        <u val="none"/>
        <vertAlign val="baseline"/>
        <color rgb="FF36256E"/>
        <name val="Calibri"/>
        <family val="2"/>
        <scheme val="minor"/>
      </font>
      <fill>
        <patternFill patternType="none">
          <fgColor indexed="64"/>
          <bgColor auto="1"/>
        </patternFill>
      </fill>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9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2"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color rgb="FF36256E"/>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strike val="0"/>
        <outline val="0"/>
        <shadow val="0"/>
        <u val="none"/>
        <vertAlign val="baseline"/>
        <color rgb="FF36256E"/>
        <name val="Calibri"/>
        <family val="2"/>
        <scheme val="minor"/>
      </font>
    </dxf>
    <dxf>
      <font>
        <strike val="0"/>
        <outline val="0"/>
        <shadow val="0"/>
        <u val="none"/>
        <vertAlign val="baseline"/>
        <color rgb="FF36256E"/>
        <name val="Calibri"/>
        <family val="2"/>
        <scheme val="minor"/>
      </font>
    </dxf>
    <dxf>
      <font>
        <strike val="0"/>
        <outline val="0"/>
        <shadow val="0"/>
        <u val="none"/>
        <vertAlign val="baseline"/>
        <color rgb="FF36256E"/>
        <name val="Calibri"/>
        <family val="2"/>
        <scheme val="minor"/>
      </font>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numFmt numFmtId="13" formatCode="0%"/>
      <alignment horizontal="right" vertical="bottom" textRotation="0" wrapText="0" indent="0" justifyLastLine="0" shrinkToFit="0" readingOrder="0"/>
    </dxf>
    <dxf>
      <font>
        <strike val="0"/>
        <outline val="0"/>
        <shadow val="0"/>
        <u val="none"/>
        <vertAlign val="baseline"/>
        <sz val="9"/>
        <color rgb="FF36256E"/>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bottom" textRotation="0" wrapText="0"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bottom" textRotation="0" wrapText="0"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general" vertical="top" textRotation="0" wrapText="0" indent="0" justifyLastLine="0" shrinkToFit="0" readingOrder="0"/>
    </dxf>
    <dxf>
      <font>
        <strike val="0"/>
        <outline val="0"/>
        <shadow val="0"/>
        <u val="none"/>
        <vertAlign val="baseline"/>
        <sz val="9"/>
        <color rgb="FF36256E"/>
        <name val="Calibri"/>
        <family val="2"/>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sz val="9"/>
        <color rgb="FF36256E"/>
        <name val="Calibri"/>
        <family val="2"/>
        <scheme val="minor"/>
      </font>
    </dxf>
    <dxf>
      <font>
        <strike val="0"/>
        <outline val="0"/>
        <shadow val="0"/>
        <u val="none"/>
        <vertAlign val="baseline"/>
        <sz val="9"/>
        <color theme="0"/>
        <name val="Calibri"/>
        <family val="2"/>
        <scheme val="minor"/>
      </font>
      <fill>
        <patternFill patternType="solid">
          <fgColor indexed="64"/>
          <bgColor rgb="FF36246E"/>
        </patternFill>
      </fill>
      <alignment horizontal="left"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rgb="FF36256E"/>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strike val="0"/>
        <outline val="0"/>
        <shadow val="0"/>
        <u val="none"/>
        <vertAlign val="baseline"/>
        <color rgb="FF36256E"/>
      </font>
    </dxf>
    <dxf>
      <font>
        <strike val="0"/>
        <outline val="0"/>
        <shadow val="0"/>
        <u val="none"/>
        <vertAlign val="baseline"/>
        <color rgb="FF36256E"/>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font>
    </dxf>
    <dxf>
      <border>
        <bottom style="medium">
          <color rgb="FF36256E"/>
        </bottom>
      </border>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sz val="9"/>
        <color rgb="FF36256E"/>
        <name val="Calibri"/>
        <family val="2"/>
        <scheme val="minor"/>
      </font>
    </dxf>
    <dxf>
      <font>
        <strike val="0"/>
        <outline val="0"/>
        <shadow val="0"/>
        <u val="none"/>
        <vertAlign val="baseline"/>
        <sz val="9"/>
        <color theme="0"/>
        <name val="Calibri"/>
        <family val="2"/>
        <scheme val="minor"/>
      </font>
      <fill>
        <patternFill patternType="solid">
          <fgColor indexed="64"/>
          <bgColor rgb="FF36246E"/>
        </patternFill>
      </fill>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sz val="9"/>
        <color theme="0"/>
        <name val="Calibri"/>
        <family val="2"/>
        <scheme val="minor"/>
      </font>
      <fill>
        <patternFill patternType="solid">
          <fgColor indexed="64"/>
          <bgColor rgb="FF36246E"/>
        </patternFill>
      </fill>
    </dxf>
    <dxf>
      <font>
        <b/>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style="thin">
          <color theme="4"/>
        </top>
        <bottom style="double">
          <color theme="4"/>
        </bottom>
      </border>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theme="4"/>
        </top>
        <bottom style="double">
          <color theme="4"/>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right/>
        <top style="thin">
          <color theme="4"/>
        </top>
        <bottom style="double">
          <color theme="4"/>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right/>
        <top style="thin">
          <color theme="4"/>
        </top>
        <bottom style="double">
          <color theme="4"/>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right/>
        <top style="thin">
          <color theme="4"/>
        </top>
        <bottom style="double">
          <color theme="4"/>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right/>
        <top style="thin">
          <color theme="4"/>
        </top>
        <bottom style="double">
          <color theme="4"/>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right/>
        <top style="thin">
          <color theme="4"/>
        </top>
        <bottom style="double">
          <color theme="4"/>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right/>
        <top style="thin">
          <color theme="4"/>
        </top>
        <bottom style="double">
          <color theme="4"/>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theme="4"/>
        </top>
        <bottom style="double">
          <color theme="4"/>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alignment horizontal="right" vertical="center" textRotation="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alignment horizontal="left" textRotation="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border diagonalUp="0" diagonalDown="0" outline="0">
        <left style="medium">
          <color rgb="FF1B587C"/>
        </left>
        <right style="medium">
          <color rgb="FF1B587C"/>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color rgb="FF36256E"/>
        <family val="2"/>
      </font>
      <alignment horizontal="left"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amily val="2"/>
      </font>
      <alignment horizontal="left" textRotation="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strike val="0"/>
        <outline val="0"/>
        <shadow val="0"/>
        <u val="none"/>
        <vertAlign val="baseline"/>
        <color rgb="FF36256E"/>
      </font>
      <alignment horizontal="left" textRotation="0" justifyLastLine="0" shrinkToFit="0" readingOrder="0"/>
    </dxf>
    <dxf>
      <font>
        <strike val="0"/>
        <outline val="0"/>
        <shadow val="0"/>
        <u val="none"/>
        <vertAlign val="baseline"/>
        <color rgb="FF36256E"/>
      </font>
      <alignment horizontal="left" textRotation="0" justifyLastLine="0" shrinkToFit="0" readingOrder="0"/>
    </dxf>
    <dxf>
      <font>
        <strike val="0"/>
        <outline val="0"/>
        <shadow val="0"/>
        <u val="none"/>
        <vertAlign val="baseline"/>
        <color rgb="FF36256E"/>
      </font>
      <alignment horizontal="left" textRotation="0" justifyLastLine="0" shrinkToFit="0" readingOrder="0"/>
    </dxf>
    <dxf>
      <font>
        <strike val="0"/>
        <outline val="0"/>
        <shadow val="0"/>
        <u val="none"/>
        <vertAlign val="baseline"/>
        <color rgb="FF36256E"/>
      </font>
      <alignment horizontal="left" textRotation="0" justifyLastLine="0" shrinkToFit="0" readingOrder="0"/>
    </dxf>
    <dxf>
      <font>
        <strike val="0"/>
        <outline val="0"/>
        <shadow val="0"/>
        <u val="none"/>
        <vertAlign val="baseline"/>
        <color rgb="FF36256E"/>
        <family val="2"/>
      </font>
      <alignment horizontal="left" textRotation="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alignment horizontal="lef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border diagonalUp="0" diagonalDown="0" outline="0">
        <left/>
        <right/>
        <top/>
        <bottom/>
      </border>
    </dxf>
    <dxf>
      <font>
        <strike val="0"/>
        <outline val="0"/>
        <shadow val="0"/>
        <u val="none"/>
        <vertAlign val="baseline"/>
        <color rgb="FF36256E"/>
      </font>
    </dxf>
    <dxf>
      <font>
        <strike val="0"/>
        <outline val="0"/>
        <shadow val="0"/>
        <u val="none"/>
        <vertAlign val="baseline"/>
        <color rgb="FF36256E"/>
      </font>
    </dxf>
    <dxf>
      <font>
        <b val="0"/>
        <i val="0"/>
        <strike val="0"/>
        <condense val="0"/>
        <extend val="0"/>
        <outline val="0"/>
        <shadow val="0"/>
        <u val="none"/>
        <vertAlign val="baseline"/>
        <sz val="9"/>
        <color rgb="FF36256E"/>
        <name val="Calibri"/>
        <family val="2"/>
        <scheme val="minor"/>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solid">
          <fgColor indexed="64"/>
          <bgColor theme="2"/>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9"/>
        <color theme="0"/>
        <name val="Calibri"/>
        <family val="2"/>
        <scheme val="minor"/>
      </font>
      <fill>
        <patternFill patternType="none">
          <fgColor indexed="64"/>
          <bgColor rgb="FF36246E"/>
        </patternFill>
      </fill>
      <alignment horizontal="right" vertical="center" textRotation="0" wrapText="1" indent="0" justifyLastLine="0" shrinkToFit="0" readingOrder="0"/>
    </dxf>
    <dxf>
      <font>
        <strike val="0"/>
        <outline val="0"/>
        <shadow val="0"/>
        <u val="none"/>
        <vertAlign val="baseline"/>
        <sz val="9"/>
        <color rgb="FF36256E"/>
        <family val="2"/>
      </font>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rgb="FF36256E"/>
        <family val="2"/>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dxf>
    <dxf>
      <font>
        <strike val="0"/>
        <outline val="0"/>
        <shadow val="0"/>
        <u val="none"/>
        <vertAlign val="baseline"/>
        <color rgb="FF36256E"/>
        <name val="Calibri"/>
        <family val="2"/>
        <scheme val="minor"/>
      </font>
      <numFmt numFmtId="2" formatCode="0.00"/>
      <fill>
        <patternFill patternType="none">
          <fgColor indexed="64"/>
          <bgColor indexed="65"/>
        </patternFill>
      </fill>
      <alignment horizontal="right"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dxf>
    <dxf>
      <font>
        <strike val="0"/>
        <outline val="0"/>
        <shadow val="0"/>
        <u val="none"/>
        <vertAlign val="baseline"/>
        <color rgb="FF36256E"/>
        <name val="Calibri"/>
        <family val="2"/>
        <scheme val="minor"/>
      </font>
      <numFmt numFmtId="2" formatCode="0.00"/>
      <fill>
        <patternFill patternType="none">
          <fgColor indexed="64"/>
          <bgColor auto="1"/>
        </patternFill>
      </fill>
      <alignment horizontal="right"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dxf>
    <dxf>
      <font>
        <strike val="0"/>
        <outline val="0"/>
        <shadow val="0"/>
        <u val="none"/>
        <vertAlign val="baseline"/>
        <color rgb="FF36256E"/>
        <name val="Calibri"/>
        <family val="2"/>
        <scheme val="minor"/>
      </font>
      <numFmt numFmtId="2" formatCode="0.00"/>
      <fill>
        <patternFill patternType="none">
          <fgColor indexed="64"/>
          <bgColor auto="1"/>
        </patternFill>
      </fill>
      <alignment horizontal="right"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dxf>
    <dxf>
      <font>
        <strike val="0"/>
        <outline val="0"/>
        <shadow val="0"/>
        <u val="none"/>
        <vertAlign val="baseline"/>
        <color rgb="FF36256E"/>
        <name val="Calibri"/>
        <family val="2"/>
        <scheme val="minor"/>
      </font>
      <numFmt numFmtId="1" formatCode="0"/>
      <fill>
        <patternFill patternType="none">
          <fgColor indexed="64"/>
          <bgColor indexed="65"/>
        </patternFill>
      </fill>
      <alignment horizontal="right"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8"/>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color rgb="FF36256E"/>
        <name val="Calibri"/>
        <family val="2"/>
        <scheme val="minor"/>
      </font>
      <fill>
        <patternFill patternType="none">
          <fgColor indexed="64"/>
          <bgColor indexed="65"/>
        </patternFill>
      </fill>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general" vertical="bottom" textRotation="0" wrapText="0" indent="0" justifyLastLine="0" shrinkToFit="0" readingOrder="0"/>
    </dxf>
    <dxf>
      <font>
        <strike val="0"/>
        <outline val="0"/>
        <shadow val="0"/>
        <u val="none"/>
        <vertAlign val="baseline"/>
        <color rgb="FF36256E"/>
      </font>
      <numFmt numFmtId="3" formatCode="#,##0"/>
      <alignment horizontal="general"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dxf>
    <dxf>
      <font>
        <strike val="0"/>
        <outline val="0"/>
        <shadow val="0"/>
        <u val="none"/>
        <vertAlign val="baseline"/>
        <color rgb="FF36256E"/>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color rgb="FF36256E"/>
        <family val="2"/>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strike val="0"/>
        <outline val="0"/>
        <shadow val="0"/>
        <u val="none"/>
        <vertAlign val="baseline"/>
        <sz val="9"/>
        <color rgb="FF36256E"/>
        <name val="Calibri"/>
        <family val="2"/>
        <scheme val="minor"/>
      </font>
      <fill>
        <patternFill patternType="none">
          <fgColor indexed="64"/>
          <bgColor indexed="65"/>
        </patternFill>
      </fill>
      <alignment horizontal="general" vertical="bottom" textRotation="0" wrapText="1" indent="0" justifyLastLine="0" shrinkToFit="0" readingOrder="0"/>
    </dxf>
    <dxf>
      <font>
        <b val="0"/>
        <strike val="0"/>
        <outline val="0"/>
        <shadow val="0"/>
        <u val="none"/>
        <vertAlign val="baseline"/>
        <sz val="9"/>
        <color rgb="FF36256E"/>
        <name val="Calibri"/>
        <family val="2"/>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9"/>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theme="7"/>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vertAlign val="baseline"/>
        <sz val="9"/>
        <color rgb="FF36256E"/>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vertAlign val="baseline"/>
        <sz val="9"/>
        <color rgb="FF36256E"/>
        <name val="Calibri"/>
        <family val="2"/>
        <scheme val="minor"/>
      </font>
      <fill>
        <patternFill patternType="none">
          <fgColor indexed="64"/>
          <bgColor auto="1"/>
        </patternFill>
      </fill>
    </dxf>
    <dxf>
      <font>
        <strike val="0"/>
        <outline val="0"/>
        <shadow val="0"/>
        <u val="none"/>
        <vertAlign val="baseline"/>
        <sz val="9"/>
        <color theme="0"/>
        <name val="Calibri"/>
        <family val="2"/>
        <scheme val="minor"/>
      </font>
      <fill>
        <patternFill patternType="solid">
          <fgColor indexed="64"/>
          <bgColor rgb="FF36246E"/>
        </patternFill>
      </fill>
    </dxf>
    <dxf>
      <font>
        <strike val="0"/>
        <outline val="0"/>
        <shadow val="0"/>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alignment horizontal="general" vertical="center" textRotation="0" wrapText="1" indent="0" justifyLastLine="0" shrinkToFit="0" readingOrder="0"/>
    </dxf>
    <dxf>
      <font>
        <strike val="0"/>
        <outline val="0"/>
        <shadow val="0"/>
        <vertAlign val="baseline"/>
        <sz val="9"/>
        <color rgb="FF36256E"/>
        <name val="Calibri"/>
        <family val="2"/>
        <scheme val="minor"/>
      </font>
      <alignment horizontal="general" vertical="center" textRotation="0" wrapText="1" indent="0" justifyLastLine="0" shrinkToFit="0" readingOrder="0"/>
    </dxf>
    <dxf>
      <font>
        <strike val="0"/>
        <outline val="0"/>
        <shadow val="0"/>
        <vertAlign val="baseline"/>
        <sz val="9"/>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dxf>
  </dxfs>
  <tableStyles count="0" defaultTableStyle="TableStyleMedium2" defaultPivotStyle="PivotStyleLight16"/>
  <colors>
    <mruColors>
      <color rgb="FF362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drawing1.xml><?xml version="1.0" encoding="utf-8"?>
<xdr:wsDr xmlns:xdr="http://schemas.openxmlformats.org/drawingml/2006/spreadsheetDrawing" xmlns:a="http://schemas.openxmlformats.org/drawingml/2006/main">
  <xdr:twoCellAnchor editAs="oneCell">
    <xdr:from>
      <xdr:col>1</xdr:col>
      <xdr:colOff>148167</xdr:colOff>
      <xdr:row>1</xdr:row>
      <xdr:rowOff>35279</xdr:rowOff>
    </xdr:from>
    <xdr:to>
      <xdr:col>6</xdr:col>
      <xdr:colOff>149930</xdr:colOff>
      <xdr:row>9</xdr:row>
      <xdr:rowOff>138495</xdr:rowOff>
    </xdr:to>
    <xdr:pic>
      <xdr:nvPicPr>
        <xdr:cNvPr id="4" name="Imagen 3">
          <a:extLst>
            <a:ext uri="{FF2B5EF4-FFF2-40B4-BE49-F238E27FC236}">
              <a16:creationId xmlns:a16="http://schemas.microsoft.com/office/drawing/2014/main" id="{9FAFCAFE-E097-624E-A2FF-66F276B11A29}"/>
            </a:ext>
          </a:extLst>
        </xdr:cNvPr>
        <xdr:cNvPicPr>
          <a:picLocks noChangeAspect="1"/>
        </xdr:cNvPicPr>
      </xdr:nvPicPr>
      <xdr:blipFill>
        <a:blip xmlns:r="http://schemas.openxmlformats.org/officeDocument/2006/relationships" r:embed="rId1"/>
        <a:stretch>
          <a:fillRect/>
        </a:stretch>
      </xdr:blipFill>
      <xdr:spPr>
        <a:xfrm>
          <a:off x="430389" y="218723"/>
          <a:ext cx="17227902" cy="15707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154</xdr:row>
      <xdr:rowOff>0</xdr:rowOff>
    </xdr:from>
    <xdr:to>
      <xdr:col>1</xdr:col>
      <xdr:colOff>961005</xdr:colOff>
      <xdr:row>157</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EBCC463C-8A2C-4718-80D3-69A5065AA2AB}"/>
            </a:ext>
          </a:extLst>
        </xdr:cNvPr>
        <xdr:cNvGrpSpPr/>
      </xdr:nvGrpSpPr>
      <xdr:grpSpPr>
        <a:xfrm>
          <a:off x="0" y="31760583"/>
          <a:ext cx="3056505" cy="539751"/>
          <a:chOff x="530678" y="45760821"/>
          <a:chExt cx="3075215" cy="571501"/>
        </a:xfrm>
      </xdr:grpSpPr>
      <xdr:pic>
        <xdr:nvPicPr>
          <xdr:cNvPr id="3" name="Gráfico 2" descr="Flechas de cheurón con relleno sólido">
            <a:extLst>
              <a:ext uri="{FF2B5EF4-FFF2-40B4-BE49-F238E27FC236}">
                <a16:creationId xmlns:a16="http://schemas.microsoft.com/office/drawing/2014/main" id="{31106758-3A8C-4B41-BB60-040537F10C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F3095017-F54A-4F32-A3E2-1CA6B7AA1970}"/>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84</xdr:row>
      <xdr:rowOff>0</xdr:rowOff>
    </xdr:from>
    <xdr:to>
      <xdr:col>0</xdr:col>
      <xdr:colOff>3068411</xdr:colOff>
      <xdr:row>87</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1642A8B0-A223-4A31-9B7F-15F6911CEEE6}"/>
            </a:ext>
          </a:extLst>
        </xdr:cNvPr>
        <xdr:cNvGrpSpPr/>
      </xdr:nvGrpSpPr>
      <xdr:grpSpPr>
        <a:xfrm>
          <a:off x="0" y="20468167"/>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2CBBF9A2-A296-4911-80B8-5D0DF811FE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5C83AFC4-44B3-4409-926F-3BD3005CBD2B}"/>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318067</xdr:colOff>
      <xdr:row>12</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356289C4-43EE-4685-9674-BAAA54E4D630}"/>
            </a:ext>
          </a:extLst>
        </xdr:cNvPr>
        <xdr:cNvGrpSpPr/>
      </xdr:nvGrpSpPr>
      <xdr:grpSpPr>
        <a:xfrm>
          <a:off x="0" y="2238375"/>
          <a:ext cx="3061267"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186A1DFB-A5E2-4524-8A59-0BAAD6E5A4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C62C90FD-D1D8-4F50-9201-8966080A535F}"/>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12</xdr:row>
      <xdr:rowOff>0</xdr:rowOff>
    </xdr:from>
    <xdr:to>
      <xdr:col>1</xdr:col>
      <xdr:colOff>8505</xdr:colOff>
      <xdr:row>15</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BF2CA270-6662-4B5B-B696-39E76659930E}"/>
            </a:ext>
          </a:extLst>
        </xdr:cNvPr>
        <xdr:cNvGrpSpPr/>
      </xdr:nvGrpSpPr>
      <xdr:grpSpPr>
        <a:xfrm>
          <a:off x="0" y="2638425"/>
          <a:ext cx="3066030"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7ED0D0A0-2D0D-4941-9EBF-C591DBA246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43DC61F8-2A39-4E64-BC27-8377CA68062C}"/>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64</xdr:row>
      <xdr:rowOff>0</xdr:rowOff>
    </xdr:from>
    <xdr:to>
      <xdr:col>0</xdr:col>
      <xdr:colOff>3068411</xdr:colOff>
      <xdr:row>67</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1C374DB7-AFB4-4939-BF8E-2C1BBDB2229A}"/>
            </a:ext>
          </a:extLst>
        </xdr:cNvPr>
        <xdr:cNvGrpSpPr/>
      </xdr:nvGrpSpPr>
      <xdr:grpSpPr>
        <a:xfrm>
          <a:off x="0" y="27066875"/>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AE715F4C-99DE-4260-9712-3BD57159BB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3F2790FF-D30A-4ECE-873E-6B76112D1A82}"/>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97</xdr:row>
      <xdr:rowOff>0</xdr:rowOff>
    </xdr:from>
    <xdr:to>
      <xdr:col>0</xdr:col>
      <xdr:colOff>3068411</xdr:colOff>
      <xdr:row>100</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4C40372F-0FC8-4834-A834-39C3ABCF0334}"/>
            </a:ext>
          </a:extLst>
        </xdr:cNvPr>
        <xdr:cNvGrpSpPr/>
      </xdr:nvGrpSpPr>
      <xdr:grpSpPr>
        <a:xfrm>
          <a:off x="0" y="20660591"/>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5F21F60B-632E-4A3C-BABE-656AB03803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32692EE2-ABD3-40BE-8893-BB18E3395A8E}"/>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74</xdr:row>
      <xdr:rowOff>0</xdr:rowOff>
    </xdr:from>
    <xdr:to>
      <xdr:col>0</xdr:col>
      <xdr:colOff>3068411</xdr:colOff>
      <xdr:row>77</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5E3FDC9E-F532-44DF-9391-742D01770415}"/>
            </a:ext>
          </a:extLst>
        </xdr:cNvPr>
        <xdr:cNvGrpSpPr/>
      </xdr:nvGrpSpPr>
      <xdr:grpSpPr>
        <a:xfrm>
          <a:off x="0" y="20722167"/>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26330FB0-172D-450E-824E-F735F97960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CCCFC06B-13E7-4009-BAF4-F03B3BC907E0}"/>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124164</xdr:colOff>
      <xdr:row>117</xdr:row>
      <xdr:rowOff>115660</xdr:rowOff>
    </xdr:from>
    <xdr:to>
      <xdr:col>0</xdr:col>
      <xdr:colOff>3192575</xdr:colOff>
      <xdr:row>120</xdr:row>
      <xdr:rowOff>115661</xdr:rowOff>
    </xdr:to>
    <xdr:grpSp>
      <xdr:nvGrpSpPr>
        <xdr:cNvPr id="5" name="Grupo 4">
          <a:hlinkClick xmlns:r="http://schemas.openxmlformats.org/officeDocument/2006/relationships" r:id="rId1"/>
          <a:extLst>
            <a:ext uri="{FF2B5EF4-FFF2-40B4-BE49-F238E27FC236}">
              <a16:creationId xmlns:a16="http://schemas.microsoft.com/office/drawing/2014/main" id="{C38EBE58-80CF-4074-8A68-E2AF2D1A4F9B}"/>
            </a:ext>
          </a:extLst>
        </xdr:cNvPr>
        <xdr:cNvGrpSpPr/>
      </xdr:nvGrpSpPr>
      <xdr:grpSpPr>
        <a:xfrm>
          <a:off x="124164" y="51255385"/>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E8CF935F-310A-4952-9B41-604110387A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786E56AE-56A1-447D-B1B8-908068291254}"/>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81643</xdr:colOff>
      <xdr:row>22</xdr:row>
      <xdr:rowOff>108858</xdr:rowOff>
    </xdr:from>
    <xdr:to>
      <xdr:col>1</xdr:col>
      <xdr:colOff>1578429</xdr:colOff>
      <xdr:row>25</xdr:row>
      <xdr:rowOff>108859</xdr:rowOff>
    </xdr:to>
    <xdr:grpSp>
      <xdr:nvGrpSpPr>
        <xdr:cNvPr id="2" name="Grupo 1">
          <a:hlinkClick xmlns:r="http://schemas.openxmlformats.org/officeDocument/2006/relationships" r:id="rId1"/>
          <a:extLst>
            <a:ext uri="{FF2B5EF4-FFF2-40B4-BE49-F238E27FC236}">
              <a16:creationId xmlns:a16="http://schemas.microsoft.com/office/drawing/2014/main" id="{52097EAB-B5CF-4F1B-B297-B9ACFE77006C}"/>
            </a:ext>
          </a:extLst>
        </xdr:cNvPr>
        <xdr:cNvGrpSpPr/>
      </xdr:nvGrpSpPr>
      <xdr:grpSpPr>
        <a:xfrm>
          <a:off x="81643" y="11062608"/>
          <a:ext cx="3055422"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D6EC6386-E357-4266-908F-CC7CDE83EF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39BC08D8-254A-4E5C-B8D7-9DB6EBAC25AA}"/>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35718</xdr:colOff>
      <xdr:row>47</xdr:row>
      <xdr:rowOff>146276</xdr:rowOff>
    </xdr:from>
    <xdr:to>
      <xdr:col>1</xdr:col>
      <xdr:colOff>1001826</xdr:colOff>
      <xdr:row>50</xdr:row>
      <xdr:rowOff>146277</xdr:rowOff>
    </xdr:to>
    <xdr:grpSp>
      <xdr:nvGrpSpPr>
        <xdr:cNvPr id="2" name="Grupo 1">
          <a:hlinkClick xmlns:r="http://schemas.openxmlformats.org/officeDocument/2006/relationships" r:id="rId1"/>
          <a:extLst>
            <a:ext uri="{FF2B5EF4-FFF2-40B4-BE49-F238E27FC236}">
              <a16:creationId xmlns:a16="http://schemas.microsoft.com/office/drawing/2014/main" id="{F7001453-E182-4A38-B1DE-424E97036A76}"/>
            </a:ext>
          </a:extLst>
        </xdr:cNvPr>
        <xdr:cNvGrpSpPr/>
      </xdr:nvGrpSpPr>
      <xdr:grpSpPr>
        <a:xfrm>
          <a:off x="35718" y="13509851"/>
          <a:ext cx="3090183"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3D92F78F-0087-4EDB-9B16-E85BE03DA3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923A734E-FF49-472A-A427-152C0E119D94}"/>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3068411</xdr:colOff>
      <xdr:row>53</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17EABCAE-8EEE-4604-AB88-FED9D718A182}"/>
            </a:ext>
          </a:extLst>
        </xdr:cNvPr>
        <xdr:cNvGrpSpPr/>
      </xdr:nvGrpSpPr>
      <xdr:grpSpPr>
        <a:xfrm>
          <a:off x="0" y="10642023"/>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44CD4C4E-0567-452E-9957-48B5D87B6E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8B97B1FF-E263-49AF-8502-564BC49E589C}"/>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68</xdr:row>
      <xdr:rowOff>0</xdr:rowOff>
    </xdr:from>
    <xdr:to>
      <xdr:col>1</xdr:col>
      <xdr:colOff>1949223</xdr:colOff>
      <xdr:row>71</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951E0EAB-CF33-4405-8C61-3255F49D6C08}"/>
            </a:ext>
          </a:extLst>
        </xdr:cNvPr>
        <xdr:cNvGrpSpPr/>
      </xdr:nvGrpSpPr>
      <xdr:grpSpPr>
        <a:xfrm>
          <a:off x="0" y="17674167"/>
          <a:ext cx="3071056"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22AAC90A-7443-4CF5-BB50-683A3E99CB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2470ACB4-A81B-4396-BD9E-B4C011E542B9}"/>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55</xdr:row>
      <xdr:rowOff>0</xdr:rowOff>
    </xdr:from>
    <xdr:to>
      <xdr:col>1</xdr:col>
      <xdr:colOff>210911</xdr:colOff>
      <xdr:row>58</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25DCC2E1-F622-469D-A884-3AFDC0698709}"/>
            </a:ext>
          </a:extLst>
        </xdr:cNvPr>
        <xdr:cNvGrpSpPr/>
      </xdr:nvGrpSpPr>
      <xdr:grpSpPr>
        <a:xfrm>
          <a:off x="0" y="14140295"/>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935E210B-BB86-4211-9127-77CA49C3B5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AB50E5EF-F506-4E48-8BA4-B57DBB8C2997}"/>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13</xdr:row>
      <xdr:rowOff>0</xdr:rowOff>
    </xdr:from>
    <xdr:to>
      <xdr:col>1</xdr:col>
      <xdr:colOff>1711098</xdr:colOff>
      <xdr:row>16</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87B778A7-C30A-4569-92C2-1E7CB3E48336}"/>
            </a:ext>
          </a:extLst>
        </xdr:cNvPr>
        <xdr:cNvGrpSpPr/>
      </xdr:nvGrpSpPr>
      <xdr:grpSpPr>
        <a:xfrm>
          <a:off x="0" y="3752850"/>
          <a:ext cx="3054123"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49376655-1681-4CC5-9721-ACEA9E3A53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2B06F703-0BC6-4F8D-BADE-21C4BA375618}"/>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109</xdr:row>
      <xdr:rowOff>0</xdr:rowOff>
    </xdr:from>
    <xdr:to>
      <xdr:col>0</xdr:col>
      <xdr:colOff>3068411</xdr:colOff>
      <xdr:row>112</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FA271583-B4C8-4646-A38B-6944F181CE4D}"/>
            </a:ext>
          </a:extLst>
        </xdr:cNvPr>
        <xdr:cNvGrpSpPr/>
      </xdr:nvGrpSpPr>
      <xdr:grpSpPr>
        <a:xfrm>
          <a:off x="0" y="26618045"/>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07FCD72A-0AC3-4997-85A1-0BFA51B8CF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38567594-3DD5-4E8D-97D4-292DB943B681}"/>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Dara Edmonds" id="{75737D67-E953-4971-9BAB-600ECD200C8A}" userId="c275b08ab3d8ee55"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8F96175E-15A1-44BB-AD8F-9995E329FA75}" name="Tabla456" displayName="Tabla456" ref="B27:F98" totalsRowShown="0" headerRowDxfId="416" dataDxfId="415">
  <autoFilter ref="B27:F98" xr:uid="{8F96175E-15A1-44BB-AD8F-9995E329FA75}"/>
  <sortState xmlns:xlrd2="http://schemas.microsoft.com/office/spreadsheetml/2017/richdata2" ref="B28:F98">
    <sortCondition ref="C27:C98"/>
  </sortState>
  <tableColumns count="5">
    <tableColumn id="1" xr3:uid="{3F94C7B7-B939-455A-B42D-978C197053C6}" name="PESTAÑA / TEMA MATERIAL " dataDxfId="414"/>
    <tableColumn id="2" xr3:uid="{38F130EC-2DF5-4D20-901E-C84A95139157}" name="N°" dataDxfId="413"/>
    <tableColumn id="3" xr3:uid="{5B451207-09C7-4503-A72F-71EF7075640D}" name="TABLAS / CONTENIDO" dataDxfId="412"/>
    <tableColumn id="4" xr3:uid="{F04A6C00-7E8E-4F46-AEDC-E3AF3F7BA4EC}" name="MARCO DEL CONTENIDO" dataDxfId="411"/>
    <tableColumn id="5" xr3:uid="{57F68B4B-3EF9-42E6-948C-38F291C1D717}" name="SECCIÓN DEL INFORME " dataDxfId="410"/>
  </tableColumns>
  <tableStyleInfo name="TableStyleLight1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1085C2-6060-4A7C-BF19-636963028580}" name="Tabla25" displayName="Tabla25" ref="A31:C32" totalsRowShown="0" headerRowDxfId="330" dataDxfId="329">
  <autoFilter ref="A31:C32" xr:uid="{271085C2-6060-4A7C-BF19-636963028580}"/>
  <tableColumns count="3">
    <tableColumn id="1" xr3:uid="{234A88D9-20AF-4AAE-BC22-1D047C01200A}" name="Complejo El Limón" dataDxfId="328"/>
    <tableColumn id="2" xr3:uid="{DEE7D9D6-0EFE-4190-AE9B-176112329C80}" name="Complejo La Libertad" dataDxfId="327"/>
    <tableColumn id="3" xr3:uid="{66B0979A-EFE5-44BA-B087-D2A96E851F81}" name=" Ratio de intensidad energética (GJ/oz)(1)" dataDxfId="326"/>
  </tableColumns>
  <tableStyleInfo name="TableStyleLight1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E556596-CB98-4590-88F3-E333EE98E66D}" name="Tabla34" displayName="Tabla34" ref="A3:E6" totalsRowShown="0" headerRowDxfId="325" dataDxfId="324">
  <autoFilter ref="A3:E6" xr:uid="{BE556596-CB98-4590-88F3-E333EE98E66D}"/>
  <tableColumns count="5">
    <tableColumn id="1" xr3:uid="{D52702CE-EC75-42C7-992E-F84F5934FDC9}" name=" Fecha " dataDxfId="323"/>
    <tableColumn id="2" xr3:uid="{B24D69D5-08BC-4344-968F-AD88822D6973}" name="Proyecto " dataDxfId="322"/>
    <tableColumn id="3" xr3:uid="{9E42806D-F6D3-43D7-B41B-11104C6D7433}" name="Ubicación " dataDxfId="321"/>
    <tableColumn id="4" xr3:uid="{AF0760ED-FF21-4C5F-8B03-047880A37B3C}" name="# de Participantes" dataDxfId="320"/>
    <tableColumn id="5" xr3:uid="{E6871369-89AE-45B1-B8F4-81790BF19E11}" name="Resultado" dataDxfId="319"/>
  </tableColumns>
  <tableStyleInfo name="TableStyleLight1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01A9BDC-3F3F-4DD8-BBF2-CD7DD9D4CB9B}" name="Tabla35" displayName="Tabla35" ref="A12:G18" totalsRowShown="0" headerRowDxfId="318" dataDxfId="317">
  <autoFilter ref="A12:G18" xr:uid="{401A9BDC-3F3F-4DD8-BBF2-CD7DD9D4CB9B}"/>
  <tableColumns count="7">
    <tableColumn id="1" xr3:uid="{E94C3B98-6AC7-4CAB-BEFA-1EFC0DCAE788}" name="Sitio" dataDxfId="316"/>
    <tableColumn id="2" xr3:uid="{C1534E37-FC05-4900-818E-ECF995DA31FC}" name="¿Tiene la operación planes de participación de la comunidad local? ¿Se basan en el mapeo SH?" dataDxfId="315"/>
    <tableColumn id="3" xr3:uid="{B496AB1D-6E17-4A5C-8FF7-AB0AF93A0827}" name="¿EIA realizada? Año de la última EIA" dataDxfId="314"/>
    <tableColumn id="4" xr3:uid="{616382D6-E501-426D-9C21-E5918C525BD0}" name="¿Tiene la operación programas de desarrollo?" dataDxfId="313"/>
    <tableColumn id="5" xr3:uid="{F9BFB7EB-C1E9-45EE-8796-79A11BD77F5B}" name="¿Tiene la operación procesos formales de queja y reclamación en la comunidad local?" dataDxfId="312"/>
    <tableColumn id="6" xr3:uid="{612631FA-CF34-475C-A5B1-F31678372E2E}" name="¿Participa el sitio en comités de consulta amplios con las comunidades locales que incluyen grupos vulnerables?" dataDxfId="311"/>
    <tableColumn id="7" xr3:uid="{D1571FFB-1B86-4C1B-85F2-7E5DB8695F27}" name="¿Participa el sitio en comités de empresa, comités de salud y seguridad en el trabajo y otros organsimos de representación de los trabajadores para tratar los impactos sociales? " dataDxfId="310"/>
  </tableColumns>
  <tableStyleInfo name="TableStyleLight1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8C56AB0-18C9-46EB-BB10-21C581C64222}" name="Tabla36" displayName="Tabla36" ref="A22:E24" totalsRowShown="0" headerRowDxfId="309" dataDxfId="308">
  <autoFilter ref="A22:E24" xr:uid="{28C56AB0-18C9-46EB-BB10-21C581C64222}"/>
  <tableColumns count="5">
    <tableColumn id="1" xr3:uid="{414644F3-E996-4CE3-8D56-AADBB8CC4168}" name="Ítems" dataDxfId="307"/>
    <tableColumn id="2" xr3:uid="{DAC7184F-6A67-44F0-A916-0160316E8E6E}" name="Complejo El Limón" dataDxfId="306"/>
    <tableColumn id="3" xr3:uid="{086BAC3C-DCAF-4970-B864-28DF38E740C3}" name="Complejo La Libertad" dataDxfId="305"/>
    <tableColumn id="4" xr3:uid="{BB8469C2-FF29-4882-8BE7-44BC5904ADEE}" name="Proyecto Eastern Borosi " dataDxfId="304"/>
    <tableColumn id="5" xr3:uid="{4EBB5409-D9DB-401B-B80F-5DC4D4F65934}" name="Rio Tinto Exploration JV" dataDxfId="303"/>
  </tableColumns>
  <tableStyleInfo name="TableStyleLight1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3DBEEFA-36BC-4DBA-8B11-E2F4D2A5E8A8}" name="Tabla39" displayName="Tabla39" ref="A51:E53" totalsRowShown="0" headerRowDxfId="302" dataDxfId="301">
  <autoFilter ref="A51:E53" xr:uid="{E3DBEEFA-36BC-4DBA-8B11-E2F4D2A5E8A8}"/>
  <tableColumns count="5">
    <tableColumn id="1" xr3:uid="{932185DB-6A1B-4D7C-97FE-ACDA06DBD370}" name="Naturaleza de la controversia" dataDxfId="300"/>
    <tableColumn id="2" xr3:uid="{79DC0038-1A9A-4F96-94A1-CD461AF9E1A7}" name="¿Uso del Procedimiento de quejas y reclamaciones?" dataDxfId="299"/>
    <tableColumn id="3" xr3:uid="{0B2589BF-8D75-4128-BE5A-D5A6B89AE238}" name="Resultado" dataDxfId="298"/>
    <tableColumn id="4" xr3:uid="{E5810130-CAD6-4A7E-BBC5-4162D1BC748C}" name="Estado " dataDxfId="297"/>
    <tableColumn id="5" xr3:uid="{01D9254C-9128-40BE-AFAF-8560FAF7E787}" name="Medidas tomadas" dataDxfId="296"/>
  </tableColumns>
  <tableStyleInfo name="TableStyleLight1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8C8D6B1-D146-4A68-81B3-10B6745D3620}" name="Tabla40" displayName="Tabla40" ref="A59:F64" totalsRowShown="0" headerRowDxfId="295" dataDxfId="294">
  <autoFilter ref="A59:F64" xr:uid="{B8C8D6B1-D146-4A68-81B3-10B6745D3620}"/>
  <tableColumns count="6">
    <tableColumn id="1" xr3:uid="{56AD5828-AD9B-429D-B841-66F440AFC9FF}" name="Ubicación " dataDxfId="293"/>
    <tableColumn id="2" xr3:uid="{01BFEE12-52A1-4F23-BBAD-2B0C9FC92545}" name=" Población est. para 2021 (1)" dataDxfId="292"/>
    <tableColumn id="3" xr3:uid="{F5B13FA8-257A-4A31-AF85-2FDDFF769884}" name="# quejas y reclamaciones registrados en 2020" dataDxfId="291"/>
    <tableColumn id="4" xr3:uid="{BA371AEB-D61B-4723-B6B2-724E6AF674E3}" name="# de quejas y reclamaciones registrados en 2021" dataDxfId="290"/>
    <tableColumn id="5" xr3:uid="{15A6973B-BBBE-43AB-8501-3A9876FC773E}" name="Quejas  y reclamaciones registradas en 2020/2021" dataDxfId="289"/>
    <tableColumn id="6" xr3:uid="{365065CD-9BC9-4625-85E3-9C94AF945EE1}" name="Porcentaje de la población que utiliza el mecanismo comunitario de quejas y reclamaciones de Calibre" dataDxfId="288"/>
  </tableColumns>
  <tableStyleInfo name="TableStyleLight1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0557B5-735F-48A4-B722-D8318FDDDEF5}" name="Tabla1" displayName="Tabla1" ref="A4:B13" headerRowCount="0" totalsRowShown="0" headerRowDxfId="287" dataDxfId="286">
  <tableColumns count="2">
    <tableColumn id="1" xr3:uid="{ED48EF6F-A46E-4CBA-B68F-BE311D9AD541}" name="Columna1" headerRowDxfId="285" dataDxfId="284"/>
    <tableColumn id="2" xr3:uid="{053C6132-7535-4E54-9A39-13858F2677F6}" name="Columna2" headerRowDxfId="283" dataDxfId="282"/>
  </tableColumns>
  <tableStyleInfo name="TableStyleLight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EA3EC3-AE02-4C42-9937-B475B2BFE201}" name="Tabla2" displayName="Tabla2" ref="A20:J24" totalsRowShown="0" headerRowDxfId="281" dataDxfId="280">
  <autoFilter ref="A20:J24" xr:uid="{E5EA3EC3-AE02-4C42-9937-B475B2BFE201}"/>
  <tableColumns count="10">
    <tableColumn id="1" xr3:uid="{B492DE6E-4701-4966-BAF9-7BE42B25621F}" name="Mecanismo " dataDxfId="279"/>
    <tableColumn id="2" xr3:uid="{65C01214-B1BA-43AC-88B9-321C7847A86C}" name="Responsabilidad " dataDxfId="278"/>
    <tableColumn id="3" xr3:uid="{8316078E-38B8-4ED7-B065-420F1AE74D5F}" name="¿Cómo se informa a los actores de interés sobre el mecanismo?" dataDxfId="277"/>
    <tableColumn id="4" xr3:uid="{C560FCE4-2D38-4140-B81E-6DDE7DE5E6C7}" name="Usuarios previstos" dataDxfId="276"/>
    <tableColumn id="5" xr3:uid="{3C223E66-0C5D-47D5-9C95-0B2947FB1C53}" name="Disponibilidad y accesibilidad" dataDxfId="275"/>
    <tableColumn id="6" xr3:uid="{AD2EB72D-1536-4721-AFC6-2DA87A08A016}" name="¿Disponible en distintos idiomas?" dataDxfId="274"/>
    <tableColumn id="7" xr3:uid="{C65BD730-6862-4CBC-9A83-2C1E9364654C}" name="¿Independiente?" dataDxfId="273"/>
    <tableColumn id="8" xr3:uid="{9D40A234-54AC-485C-A411-43427CEF2D09}" name="¿Confidencial?" dataDxfId="272"/>
    <tableColumn id="9" xr3:uid="{690EE818-C753-4338-A889-80A462FB47FF}" name="¿Anónimo?" dataDxfId="271"/>
    <tableColumn id="10" xr3:uid="{F08BB86D-E029-49DC-9F79-26D5520448B6}" name="¿No represalias garantizadas?" dataDxfId="270"/>
  </tableColumns>
  <tableStyleInfo name="TableStyleLight1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61B15D-2910-4D1B-B3FA-6A9DBA8FA6AC}" name="Tabla3" displayName="Tabla3" ref="A30:D31" totalsRowShown="0" headerRowDxfId="269" dataDxfId="268">
  <autoFilter ref="A30:D31" xr:uid="{4161B15D-2910-4D1B-B3FA-6A9DBA8FA6AC}"/>
  <tableColumns count="4">
    <tableColumn id="1" xr3:uid="{03AA762B-9F82-4B1F-A382-976AE5F35318}" name="# total de operaciones" dataDxfId="267"/>
    <tableColumn id="2" xr3:uid="{D3D5926B-801E-4F0A-AA2F-E05432772005}" name="# operaciones evaluadas " dataDxfId="266"/>
    <tableColumn id="3" xr3:uid="{754C9005-F381-4723-8B49-1EE959093AD1}" name="% de operaciones evaluadas " dataDxfId="265"/>
    <tableColumn id="4" xr3:uid="{B237FD43-2048-4922-A061-5BE3B257CDF0}" name="Riesgos significativos identificados" dataDxfId="264"/>
  </tableColumns>
  <tableStyleInfo name="TableStyleLight1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F32674-5344-4E0E-B003-88CFA0C1FD06}" name="Tabla4" displayName="Tabla4" ref="A38:E39" totalsRowShown="0" headerRowDxfId="263" dataDxfId="262">
  <autoFilter ref="A38:E39" xr:uid="{38F32674-5344-4E0E-B003-88CFA0C1FD06}"/>
  <tableColumns count="5">
    <tableColumn id="1" xr3:uid="{2BD1B1EF-FECB-4055-9E20-625776E5956B}" name="# de empleados " dataDxfId="261"/>
    <tableColumn id="2" xr3:uid="{E4254CB5-90CB-494D-9571-2E3D80A4263B}" name="# de empleados a quienes se les hayan comunicado las políticas y procedimientos anti-corrupción (1)" dataDxfId="260"/>
    <tableColumn id="3" xr3:uid="{5C397C22-93D7-4B4F-A031-177245DA3374}" name="% de empleados " dataDxfId="259"/>
    <tableColumn id="4" xr3:uid="{A84BA2E1-3579-498D-A2A5-C69BE5954BBE}" name="# de empleados que han recibido capacitación en anticorrupción (2)" dataDxfId="258"/>
    <tableColumn id="5" xr3:uid="{D8189166-7029-4A42-BFDB-390491ABED65}" name="% de empleados capacitados " dataDxfId="257"/>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053957C-797E-44E1-BB71-EBD7A9A90ED8}" name="Tabla37" displayName="Tabla37" ref="A66:C68" totalsRowShown="0" headerRowDxfId="409" dataDxfId="408">
  <autoFilter ref="A66:C68" xr:uid="{2053957C-797E-44E1-BB71-EBD7A9A90ED8}"/>
  <tableColumns count="3">
    <tableColumn id="1" xr3:uid="{63CB97F7-CA6A-4266-9957-092E7463B16B}" name="Asociación " dataDxfId="407"/>
    <tableColumn id="2" xr3:uid="{E3CD5D1C-10C3-45BF-A9BD-EE3780B8B869}" name="Misión / Objetivo" dataDxfId="406"/>
    <tableColumn id="3" xr3:uid="{365B5062-0D61-4A60-8049-49FBF87F7F46}" name="Nuestro papel " dataDxfId="405"/>
  </tableColumns>
  <tableStyleInfo name="TableStyleLight1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AEAEE8-B75E-4A65-9FA5-21A78B11BB4F}" name="Tabla5" displayName="Tabla5" ref="A42:C43" totalsRowShown="0" headerRowDxfId="256" dataDxfId="255">
  <autoFilter ref="A42:C43" xr:uid="{5AAEAEE8-B75E-4A65-9FA5-21A78B11BB4F}"/>
  <tableColumns count="3">
    <tableColumn id="1" xr3:uid="{7109C474-1976-4EC9-9210-02F105AB446F}" name="# de proveedores " dataDxfId="254"/>
    <tableColumn id="2" xr3:uid="{F23BC61D-49AC-4D48-B750-0C4DC0CBFBFA}" name="# de socios comerciales a quienes se les hayan comunicado las políticas y procedimientos anti-corrupción " dataDxfId="253"/>
    <tableColumn id="3" xr3:uid="{ECD1F579-BE73-4F9C-993A-B1FE59C58B9F}" name="%" dataDxfId="252">
      <calculatedColumnFormula>Tabla5[[#This Row],['# de socios comerciales a quienes se les hayan comunicado las políticas y procedimientos anti-corrupción ]]/Tabla5[[#This Row],['# de proveedores ]]</calculatedColumnFormula>
    </tableColumn>
  </tableColumns>
  <tableStyleInfo name="TableStyleLight1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FBB378-C634-4819-BE6C-124E67094149}" name="Tabla6" displayName="Tabla6" ref="A50:E51" totalsRowShown="0" headerRowDxfId="251" dataDxfId="250">
  <autoFilter ref="A50:E51" xr:uid="{92FBB378-C634-4819-BE6C-124E67094149}"/>
  <tableColumns count="5">
    <tableColumn id="1" xr3:uid="{B17A2921-98E2-4F10-98E6-CCEC6A51B0BF}" name="# de incidentes confirmados de corrupción (1)" dataDxfId="249"/>
    <tableColumn id="2" xr3:uid="{5F1A4734-D70C-492D-974C-F446DBBDA817}" name="Naturaleza" dataDxfId="248"/>
    <tableColumn id="3" xr3:uid="{BF6C2869-9D66-412D-8521-3CFD65852EDA}" name="¿Contrato(s) con socio(s) comercialesde rescindidos o no renovados?" dataDxfId="247"/>
    <tableColumn id="4" xr3:uid="{FB524185-43C8-463D-8653-92947C3B1BA1}" name="¿Casos jurídicos públicos (2) interpuestos contra la organización o sus empleados?" dataDxfId="246"/>
    <tableColumn id="5" xr3:uid="{FAC540DE-8D8B-47A4-A94A-6AEE09259FF1}" name="Si respuesta es Sí, indicar resultados " dataDxfId="245"/>
  </tableColumns>
  <tableStyleInfo name="TableStyleLight1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87C73A-7D6D-4943-9AD7-C1356A3546DC}" name="Tabla9" displayName="Tabla9" ref="A4:D9" totalsRowShown="0" headerRowDxfId="244" dataDxfId="243">
  <autoFilter ref="A4:D9" xr:uid="{2287C73A-7D6D-4943-9AD7-C1356A3546DC}"/>
  <tableColumns count="4">
    <tableColumn id="1" xr3:uid="{7029A3CA-EF5D-4858-842B-F7AE1F20329F}" name="Sitio  " dataDxfId="242"/>
    <tableColumn id="2" xr3:uid="{09DF53DF-1C76-46C2-97B8-8A839B8F5218}" name="¿EMP implementadas? " dataDxfId="241"/>
    <tableColumn id="3" xr3:uid="{52C27987-19E8-409E-BE86-A6C9B6686AD2}" name="Etapa del ciclo de vida" dataDxfId="240"/>
    <tableColumn id="4" xr3:uid="{FF3A09CA-7F65-426D-904F-D129DE2646B0}" name="Temas abordados por las EMP" dataDxfId="239"/>
  </tableColumns>
  <tableStyleInfo name="TableStyleLight1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5A0187B-C675-4DA0-90C7-3EF8D78C69D5}" name="Tabla26" displayName="Tabla26" ref="A4:G7" totalsRowShown="0" headerRowDxfId="238" dataDxfId="237">
  <autoFilter ref="A4:G7" xr:uid="{C5A0187B-C675-4DA0-90C7-3EF8D78C69D5}"/>
  <tableColumns count="7">
    <tableColumn id="1" xr3:uid="{A5C3A3DF-291E-4D5F-AA17-A49FB092774F}" name="Tipo de capacitación/formación" dataDxfId="236"/>
    <tableColumn id="2" xr3:uid="{38D0BC71-670A-457F-8409-FC81CDB5BA82}" name="Temas" dataDxfId="235"/>
    <tableColumn id="7" xr3:uid="{ABD24B13-5A15-46E9-A6E1-DC98D6F16426}" name="# de personas capacitadas en 2020" dataDxfId="234"/>
    <tableColumn id="3" xr3:uid="{82A48112-4E03-4158-85BE-88BB674B4DAE}" name="# de personas capacitadas en 2021" dataDxfId="233"/>
    <tableColumn id="4" xr3:uid="{5C6C15F0-29AB-4169-8EEE-EF0FF1914435}" name="Frecuencia de la capacitación" dataDxfId="232"/>
    <tableColumn id="5" xr3:uid="{9FB32A46-7C8A-411D-94DA-1926905C0BC3}" name="Duración de la capacitación (horas)" dataDxfId="231"/>
    <tableColumn id="6" xr3:uid="{B4298D34-7427-451E-AA14-069FAC85810F}" name="¿Obligatorio?" dataDxfId="230"/>
  </tableColumns>
  <tableStyleInfo name="TableStyleLight1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14AC152-0044-44E6-B73A-597A4A8E9E26}" name="Tabla27" displayName="Tabla27" ref="A13:G22" totalsRowShown="0" headerRowDxfId="229" dataDxfId="228">
  <autoFilter ref="A13:G22" xr:uid="{214AC152-0044-44E6-B73A-597A4A8E9E26}"/>
  <tableColumns count="7">
    <tableColumn id="1" xr3:uid="{5004C95E-5A45-49EB-9B95-1DDE68C94999}" name="Trabajadores cubiertos por un Sistema de Gestión de H&amp;S " dataDxfId="227"/>
    <tableColumn id="2" xr3:uid="{9F8DEB76-4A1B-4AB0-B1A4-AAE8D45880B2}" name="Complejo El Limón" dataDxfId="226"/>
    <tableColumn id="3" xr3:uid="{5F1B9809-13AE-4298-B00A-456F151C076C}" name="Complejo La Libertad " dataDxfId="225"/>
    <tableColumn id="4" xr3:uid="{7F187962-69F2-4EF9-BD4E-18F61F9CEC5F}" name="EBP" dataDxfId="224"/>
    <tableColumn id="5" xr3:uid="{CF305808-C124-4343-9A2C-07E47C630302}" name="Rio Tinto JV" dataDxfId="223"/>
    <tableColumn id="7" xr3:uid="{68C52AF2-7BE2-45FA-8DFF-635238274B7D}" name="Managua" dataDxfId="222"/>
    <tableColumn id="6" xr3:uid="{9F407ACD-FD26-471D-921C-DE7CEF971CC3}" name="Total" dataDxfId="221"/>
  </tableColumns>
  <tableStyleInfo name="TableStyleLight1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20DB54F-9BC2-4A45-B2BB-D42659828A9C}" name="Tabla28" displayName="Tabla28" ref="A29:I37" totalsRowCount="1" headerRowDxfId="220" dataDxfId="219" totalsRowDxfId="218" totalsRowCellStyle="Total">
  <autoFilter ref="A29:I36" xr:uid="{920DB54F-9BC2-4A45-B2BB-D42659828A9C}"/>
  <tableColumns count="9">
    <tableColumn id="1" xr3:uid="{4BECB39D-7A99-4D82-A2E0-B81ADC0E58AC}" name="Sitio " totalsRowLabel="Total" dataDxfId="217" totalsRowDxfId="216" totalsRowCellStyle="Total"/>
    <tableColumn id="2" xr3:uid="{F84289F6-873D-415B-8060-FEC89133EF1F}" name="# de fallecimientos resultantes de una lesión por accidente laboral" totalsRowFunction="sum" dataDxfId="215" totalsRowDxfId="214" totalsRowCellStyle="Total"/>
    <tableColumn id="3" xr3:uid="{3A885661-D621-4BD9-901B-85B4173BFFD9}" name="Tasa de fallecimientos resultantes de una lesión por accidente laboral" totalsRowFunction="sum" dataDxfId="213" totalsRowDxfId="212" totalsRowCellStyle="Total"/>
    <tableColumn id="4" xr3:uid="{2D08BE41-F87F-499E-BF82-3F04E27D1C17}" name="# de lesiones por accidente laboral con grandes consecuencias " totalsRowFunction="sum" dataDxfId="211" totalsRowDxfId="210" totalsRowCellStyle="Total"/>
    <tableColumn id="5" xr3:uid="{C72FB50E-CBBF-4136-9F34-6CFCB56A3DE5}" name="Tasa de lesiones por accidente laboral con grandes consecuencias(1)" totalsRowFunction="sum" dataDxfId="209" totalsRowDxfId="208" totalsRowCellStyle="Total"/>
    <tableColumn id="6" xr3:uid="{AB481A0F-4234-4C1D-A8C9-875F17095BDE}" name="# de lesiones por accidente laboral registrables  " totalsRowFunction="sum" dataDxfId="207" totalsRowDxfId="206" totalsRowCellStyle="Total"/>
    <tableColumn id="7" xr3:uid="{800032DB-48B4-45DB-BBF8-C63E4EE68F81}" name="Tasa de lesiones por accidente laboral registrables (2)" totalsRowFunction="sum" dataDxfId="205" totalsRowDxfId="204" totalsRowCellStyle="Total"/>
    <tableColumn id="8" xr3:uid="{AB083FA0-00F1-4412-9B49-629697173240}" name="Principales tipos de lesiones por accidente laboral" dataDxfId="203" totalsRowDxfId="202" totalsRowCellStyle="Total"/>
    <tableColumn id="9" xr3:uid="{BDB93D68-0613-4980-A558-39BD8000567A}" name="# de horas trabajadas" totalsRowFunction="sum" dataDxfId="201" totalsRowDxfId="200" totalsRowCellStyle="Total"/>
  </tableColumns>
  <tableStyleInfo name="TableStyleLight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C318D927-C4D9-4F15-8D28-2A8CD20CC3F4}" name="Tabla29" displayName="Tabla29" ref="A43:I49" totalsRowCount="1" headerRowDxfId="199" dataDxfId="198" totalsRowDxfId="197" totalsRowCellStyle="Total">
  <autoFilter ref="A43:I48" xr:uid="{C318D927-C4D9-4F15-8D28-2A8CD20CC3F4}"/>
  <tableColumns count="9">
    <tableColumn id="1" xr3:uid="{0CA3D51B-4AB2-483A-AEA8-E3907E080277}" name="Sitio " totalsRowLabel="Total" dataDxfId="196" totalsRowDxfId="195"/>
    <tableColumn id="2" xr3:uid="{A70F443D-AEB6-4B76-B1E6-445CB11AB445}" name="# de fallecimientos resultantes de una lesión por accidente laboral" totalsRowFunction="sum" dataDxfId="194" totalsRowDxfId="193"/>
    <tableColumn id="3" xr3:uid="{DB802760-A525-48A8-9B99-2BB163DEB294}" name="Tasa de fallecimientos resultantes de una lesión por accidente laboral" totalsRowFunction="sum" dataDxfId="192" totalsRowDxfId="191"/>
    <tableColumn id="4" xr3:uid="{7BFE600E-3FC9-4087-B29C-476BF587E7C8}" name="# de lesiones por accidente laboral con grandes consecuencias " totalsRowFunction="sum" dataDxfId="190" totalsRowDxfId="189"/>
    <tableColumn id="5" xr3:uid="{D2412989-25EB-4119-9A5D-95038306252B}" name="Tasa de lesiones por accidente laboral con grandes consecuencias(1)" totalsRowFunction="sum" dataDxfId="188" totalsRowDxfId="187"/>
    <tableColumn id="6" xr3:uid="{75C798EE-CA8A-4DE4-BD2B-81C16597CE46}" name="# Recordable Work-related Injuries Lesiones relacionadas con el trabajo grabables" totalsRowFunction="sum" dataDxfId="186" totalsRowDxfId="185"/>
    <tableColumn id="7" xr3:uid="{58464739-4C59-4DF6-BF1D-6B2844BB9B62}" name="Tasa de lesiones por accidente laboral registrables (2)" totalsRowFunction="sum" dataDxfId="184" totalsRowDxfId="183"/>
    <tableColumn id="8" xr3:uid="{063FCBBF-FDC4-491E-848F-976B7B628012}" name="Principales tipos de lesiones por accidente laboral" dataDxfId="182" totalsRowDxfId="181"/>
    <tableColumn id="9" xr3:uid="{21EEB31D-D350-41FB-9171-6BC05B8B9BB3}" name="# de horas trabajadas" totalsRowFunction="sum" dataDxfId="180" totalsRowDxfId="179"/>
  </tableColumns>
  <tableStyleInfo name="TableStyleLight1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A5766AD-8245-4336-BF8A-320191C3455C}" name="Tabla30" displayName="Tabla30" ref="A56:C61" totalsRowShown="0" headerRowDxfId="178" dataDxfId="177">
  <autoFilter ref="A56:C61" xr:uid="{7A5766AD-8245-4336-BF8A-320191C3455C}"/>
  <tableColumns count="3">
    <tableColumn id="1" xr3:uid="{7B0B3923-F1D3-40EE-BA3C-49C8BD9B2900}" name="Sitio " dataDxfId="176"/>
    <tableColumn id="2" xr3:uid="{2BB6183E-E035-4036-A420-0F7322D23B96}" name="Número " dataDxfId="175"/>
    <tableColumn id="3" xr3:uid="{B97A7DE4-79D3-45D4-8A97-D6788DC95BEA}" name="Tipo(s)" dataDxfId="174"/>
  </tableColumns>
  <tableStyleInfo name="TableStyleLight1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56B955A-E78F-49AA-877A-D2E25EB59CF1}" name="Tabla31" displayName="Tabla31" ref="A67:C73" totalsRowCount="1" headerRowDxfId="173" dataDxfId="172" totalsRowDxfId="171" totalsRowCellStyle="Total">
  <autoFilter ref="A67:C72" xr:uid="{956B955A-E78F-49AA-877A-D2E25EB59CF1}"/>
  <tableColumns count="3">
    <tableColumn id="1" xr3:uid="{B56EE810-BA32-4CF4-A36A-EB43FDDA7813}" name="Sitio " totalsRowLabel="Total" dataDxfId="170" totalsRowDxfId="169" totalsRowCellStyle="Total"/>
    <tableColumn id="2" xr3:uid="{3AD1825B-3E16-4F01-831C-CAE31F3C336A}" name="# de incidentes laborales de gran potencial identificados " totalsRowFunction="sum" dataDxfId="168" totalsRowDxfId="167" totalsRowCellStyle="Total"/>
    <tableColumn id="3" xr3:uid="{DF9500BE-45B8-4DB8-A382-9F56B6338CD2}" name="# de cuasiaccidentes identificados " dataDxfId="166" totalsRowDxfId="165" totalsRowCellStyle="Total"/>
  </tableColumns>
  <tableStyleInfo name="TableStyleLight1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16C6398-AC38-408D-8CD3-7864D29C378E}" name="Tabla32" displayName="Tabla32" ref="A79:D84" totalsRowShown="0" headerRowDxfId="164" dataDxfId="163">
  <autoFilter ref="A79:D84" xr:uid="{716C6398-AC38-408D-8CD3-7864D29C378E}"/>
  <tableColumns count="4">
    <tableColumn id="1" xr3:uid="{7AEFBDD9-F29F-43B3-807D-F51BA8F45945}" name=" Sitio " dataDxfId="162"/>
    <tableColumn id="2" xr3:uid="{FC5E31B4-82D4-440E-B808-FD32A437CB6B}" name="# de fallecimientos resultantes de una dolencia o enfermedad laboral" dataDxfId="161"/>
    <tableColumn id="3" xr3:uid="{904C8148-6AB7-4F92-B357-DC0F625D51E9}" name="# de casos de dolencias y enfermedades laborales registrables (1)" dataDxfId="160"/>
    <tableColumn id="4" xr3:uid="{BBED131F-D07A-401A-99ED-8A4C7FFF34C5}" name=" Principales tipos de dolencias y enfermedades laborales (1)" dataDxfId="159"/>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EB8F7613-49CF-4F4E-AEB6-235D611747F5}" name="Tabla52" displayName="Tabla52" ref="A70:B77" totalsRowShown="0" headerRowDxfId="404" dataDxfId="403">
  <autoFilter ref="A70:B77" xr:uid="{EB8F7613-49CF-4F4E-AEB6-235D611747F5}"/>
  <tableColumns count="2">
    <tableColumn id="1" xr3:uid="{6C850948-522B-47EC-9329-01D4FBDAD26D}" name="Compromisos voluntarios" dataDxfId="402"/>
    <tableColumn id="2" xr3:uid="{D129B39B-6FB3-428D-AC29-E00DA948AC7E}" name="Misión / Objetivo" dataDxfId="401"/>
  </tableColumns>
  <tableStyleInfo name="TableStyleLight1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08B0D25-D1AE-49B2-9875-10B9D5DC9037}" name="Tabla33" displayName="Tabla33" ref="A91:D96" totalsRowShown="0" headerRowDxfId="158" dataDxfId="157">
  <autoFilter ref="A91:D96" xr:uid="{D08B0D25-D1AE-49B2-9875-10B9D5DC9037}"/>
  <tableColumns count="4">
    <tableColumn id="1" xr3:uid="{5C6F5390-FF78-40C4-AFA7-F26DD3573D41}" name="Sitio " dataDxfId="156"/>
    <tableColumn id="2" xr3:uid="{D3C66C24-FACA-46F3-9FCA-4FA8564F9F3E}" name="# de fallecimientos resultantes de una dolencia o enfermedad laboral" dataDxfId="155"/>
    <tableColumn id="3" xr3:uid="{74EB331D-F73E-413D-854F-E8433CEDAD2F}" name="# de casos de dolencias y enfermedades laborales registrables (1)" dataDxfId="154"/>
    <tableColumn id="4" xr3:uid="{7A3C5EBA-CD69-4031-BAA5-7F16169BECDF}" name="Principales tipos de dolencias y enfermedades laborales (1)" dataDxfId="153"/>
  </tableColumns>
  <tableStyleInfo name="TableStyleLight1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8402319C-424D-436E-9938-3C96E66F3E32}" name="Tabla41" displayName="Tabla41" ref="A18:C23" totalsRowShown="0" headerRowDxfId="152" dataDxfId="151">
  <autoFilter ref="A18:C23" xr:uid="{8402319C-424D-436E-9938-3C96E66F3E32}"/>
  <tableColumns count="3">
    <tableColumn id="1" xr3:uid="{B9DA1C27-5CAF-4CD8-B837-275A3F88BE79}" name="Cambios en el acceso a los servicios básicos" dataDxfId="150"/>
    <tableColumn id="2" xr3:uid="{507AF5E2-F486-4C1C-8CE7-B78D9EE2D2A4}" name="Complejo El Limón" dataDxfId="149"/>
    <tableColumn id="3" xr3:uid="{C24BE392-A080-4388-B320-426D4DF5393C}" name="Complejo La Libertad" dataDxfId="148"/>
  </tableColumns>
  <tableStyleInfo name="TableStyleLight1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8A8B687-2182-4F4A-A17A-EBDBA722B30B}" name="Tabla42" displayName="Tabla42" ref="A29:C34" totalsRowShown="0" headerRowDxfId="147" dataDxfId="146">
  <autoFilter ref="A29:C34" xr:uid="{08A8B687-2182-4F4A-A17A-EBDBA722B30B}"/>
  <tableColumns count="3">
    <tableColumn id="1" xr3:uid="{23483BF4-170D-4588-9301-21A9FEE3ACCB}" name="Cambios en los derechos de tenencia de la tierra" dataDxfId="145"/>
    <tableColumn id="2" xr3:uid="{2E562FFC-2BF4-49E6-AC0B-6CA399506E47}" name="Complejo El Limón" dataDxfId="144"/>
    <tableColumn id="3" xr3:uid="{45E19ABD-A704-48C9-A78A-8A673B74DA77}" name="Complejo La Libertad" dataDxfId="143"/>
  </tableColumns>
  <tableStyleInfo name="TableStyleLight1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CC340D90-A089-44A8-BE7E-0B9E601B1146}" name="Tabla43" displayName="Tabla43" ref="A40:C45" totalsRowShown="0" headerRowDxfId="142" dataDxfId="141">
  <autoFilter ref="A40:C45" xr:uid="{CC340D90-A089-44A8-BE7E-0B9E601B1146}"/>
  <tableColumns count="3">
    <tableColumn id="1" xr3:uid="{3929F180-55C7-485C-940D-D0B7FC105DCD}" name=" Cambios en las condiciones de vivienda" dataDxfId="140"/>
    <tableColumn id="2" xr3:uid="{07168C59-1CBE-4A7D-8D40-3A9457FE72F9}" name="Complejo El Limón" dataDxfId="139"/>
    <tableColumn id="3" xr3:uid="{749F3812-148E-429D-ADA7-CFC4E88E1DEB}" name="Complejo La Libertad" dataDxfId="138"/>
  </tableColumns>
  <tableStyleInfo name="TableStyleLight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762CAE4-BF9C-428E-9DA0-3D159705375A}" name="Tabla44" displayName="Tabla44" ref="A51:C56" totalsRowShown="0" headerRowDxfId="137" dataDxfId="136">
  <autoFilter ref="A51:C56" xr:uid="{3762CAE4-BF9C-428E-9DA0-3D159705375A}"/>
  <tableColumns count="3">
    <tableColumn id="1" xr3:uid="{000F8CB0-D0DA-44C1-8B11-6C5720F2F8C9}" name="Cambios en el acceso al agua" dataDxfId="135"/>
    <tableColumn id="2" xr3:uid="{FE00F9D0-6FB2-4893-B8F2-1179608163F8}" name="Complejo El Limón" dataDxfId="134"/>
    <tableColumn id="3" xr3:uid="{83F839A2-9984-440A-AD1B-966B55669DBB}" name="Complejo La Libertad" dataDxfId="133"/>
  </tableColumns>
  <tableStyleInfo name="TableStyleLight1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999ED1A-BA8A-4365-B1C6-D5302EDD6604}" name="Tabla45" displayName="Tabla45" ref="A62:C67" totalsRowShown="0" headerRowDxfId="132" dataDxfId="131">
  <autoFilter ref="A62:C67" xr:uid="{B999ED1A-BA8A-4365-B1C6-D5302EDD6604}"/>
  <tableColumns count="3">
    <tableColumn id="1" xr3:uid="{7C38F37D-2653-41DD-9537-DD6A40859BD9}" name="Changes in Access to Sanitation" dataDxfId="130"/>
    <tableColumn id="2" xr3:uid="{F57081E6-3849-4F0C-A3F1-70CA383F185D}" name="Complejo El Limón" dataDxfId="129"/>
    <tableColumn id="3" xr3:uid="{299156E6-AABB-4174-90F5-A5C67ED7C4B0}" name="Complejo La Libertad" dataDxfId="128"/>
  </tableColumns>
  <tableStyleInfo name="TableStyleLight1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F8BA7B1E-C07A-493C-8EA2-455BA132A226}" name="Tabla46" displayName="Tabla46" ref="A73:C78" totalsRowShown="0" headerRowDxfId="127" dataDxfId="125" headerRowBorderDxfId="126">
  <autoFilter ref="A73:C78" xr:uid="{F8BA7B1E-C07A-493C-8EA2-455BA132A226}"/>
  <tableColumns count="3">
    <tableColumn id="1" xr3:uid="{14988918-153B-4B12-A04D-5771A3D2C011}" name="Percepción de la inclusividad del proceso de reasentamiento" dataDxfId="124"/>
    <tableColumn id="2" xr3:uid="{58DBD0DF-7CEA-48D0-BF19-8349052E8B1A}" name="Complejo El Limón" dataDxfId="123"/>
    <tableColumn id="3" xr3:uid="{1A9F4B03-6448-45C5-8D27-0F05F39CC592}" name="Complejo La Libertad" dataDxfId="122"/>
  </tableColumns>
  <tableStyleInfo name="TableStyleLight1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129323F-C0F4-49BC-A646-71BFE8BCF15B}" name="Tabla7" displayName="Tabla7" ref="A4:C5" totalsRowShown="0" headerRowDxfId="121" dataDxfId="120">
  <autoFilter ref="A4:C5" xr:uid="{1129323F-C0F4-49BC-A646-71BFE8BCF15B}"/>
  <tableColumns count="3">
    <tableColumn id="1" xr3:uid="{F7B454CC-6E37-4D10-82C7-529E298142DA}" name="# Nuevos proveedores en 2021" dataDxfId="119"/>
    <tableColumn id="2" xr3:uid="{C76DB430-5907-4B35-9BF7-F09FC22005F3}" name="# Nuevos proveedores seleccionados en 2021 (1)" dataDxfId="118"/>
    <tableColumn id="3" xr3:uid="{552E9D88-A56F-47C4-B84A-9FDEA7A52F97}" name=" % del total" dataDxfId="117"/>
  </tableColumns>
  <tableStyleInfo name="TableStyleLight1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1E8D0DD-EFCA-436E-997A-919095041A54}" name="Tabla59" displayName="Tabla59" ref="A4:D9" totalsRowCount="1" headerRowDxfId="116" dataDxfId="115" totalsRowDxfId="114" totalsRowCellStyle="Total">
  <autoFilter ref="A4:D8" xr:uid="{01E8D0DD-EFCA-436E-997A-919095041A54}"/>
  <tableColumns count="4">
    <tableColumn id="1" xr3:uid="{1A06B123-F208-4DFC-9879-21818C55CD92}" name="Sitio  " totalsRowLabel="Total" dataDxfId="113" totalsRowDxfId="112" totalsRowCellStyle="Total"/>
    <tableColumn id="2" xr3:uid="{98D0DE6F-1FCE-4C9E-8DC5-0365E5D5B953}" name="# de personal de seguridad en el sitio(1)" totalsRowFunction="sum" dataDxfId="111" totalsRowDxfId="110" totalsRowCellStyle="Total"/>
    <tableColumn id="3" xr3:uid="{91297077-F08D-4E36-8272-766D5E7E0C76}" name="# de personal de seguridad que ha recibido capacitación formal " totalsRowFunction="sum" dataDxfId="109" totalsRowDxfId="108" totalsRowCellStyle="Total"/>
    <tableColumn id="4" xr3:uid="{3A907E0F-F070-45C5-B546-AD2C0881B635}" name="% de personal de seguridad capacitado" totalsRowFunction="custom" dataDxfId="107" totalsRowDxfId="106" totalsRowCellStyle="Total">
      <calculatedColumnFormula>C5/B5</calculatedColumnFormula>
      <totalsRowFormula>Tabla59[[#Totals],['# de personal de seguridad que ha recibido capacitación formal ]]/Tabla59[[#Totals],['# de personal de seguridad en el sitio(1)]]</totalsRowFormula>
    </tableColumn>
  </tableColumns>
  <tableStyleInfo name="TableStyleLight1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9BE456A6-DC72-4067-B0C6-9BCE8D816A50}" name="Tabla49" displayName="Tabla49" ref="A31:G41" totalsRowShown="0" headerRowDxfId="105" dataDxfId="104">
  <autoFilter ref="A31:G41" xr:uid="{9BE456A6-DC72-4067-B0C6-9BCE8D816A50}"/>
  <tableColumns count="7">
    <tableColumn id="1" xr3:uid="{04078AD2-EF2C-4EBC-ABE9-AC683FF21C6A}" name="Ubicación" dataDxfId="103"/>
    <tableColumn id="2" xr3:uid="{20B3E0BA-566B-4A08-A158-B8F81B93623F}" name="Inversiones en infraestructura" dataDxfId="102"/>
    <tableColumn id="3" xr3:uid="{ACC23EFF-A2FA-4C1D-B3DE-CA83DB929103}" name="Alcance" dataDxfId="101"/>
    <tableColumn id="4" xr3:uid="{199A53B5-9F36-4C51-8435-B380465BA3AD}" name=" Costo (inversión en 2021)" dataDxfId="100"/>
    <tableColumn id="5" xr3:uid="{F580547B-5544-47FA-9CA8-7383E6759441}" name="Tipo" dataDxfId="99"/>
    <tableColumn id="6" xr3:uid="{8E340006-E884-487B-968E-C79FC1EA4B4A}" name="Duración " dataDxfId="98"/>
    <tableColumn id="7" xr3:uid="{F3F90355-051B-48CD-B6D5-444DE36CDAD1}" name="Impactos actuales o esperados sobre las comunidades y las economías locales" dataDxfId="97"/>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55C85F9D-B5C7-4EFB-83F5-4DE1585C7280}" name="Tabla54" displayName="Tabla54" ref="A100:B114" totalsRowShown="0" headerRowDxfId="400" dataDxfId="399">
  <autoFilter ref="A100:B114" xr:uid="{55C85F9D-B5C7-4EFB-83F5-4DE1585C7280}"/>
  <tableColumns count="2">
    <tableColumn id="1" xr3:uid="{1AFD32AA-D901-4DBD-97FE-51A468715281}" name="Temas relevantes según su importancia" dataDxfId="398"/>
    <tableColumn id="2" xr3:uid="{E7F028C9-92BA-43CC-8E6B-A88F8DBCBFF0}" name="Subtemas relevantes" dataDxfId="397"/>
  </tableColumns>
  <tableStyleInfo name="TableStyleLight1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D0544693-6EFF-4706-8319-18E6A32C9E4D}" name="Tabla50" displayName="Tabla50" ref="A48:B53" totalsRowShown="0" headerRowDxfId="96" dataDxfId="95">
  <autoFilter ref="A48:B53" xr:uid="{D0544693-6EFF-4706-8319-18E6A32C9E4D}"/>
  <tableColumns count="2">
    <tableColumn id="1" xr3:uid="{9001F3DB-5776-4719-832D-E1B241C6D3CE}" name="Ejemplos" dataDxfId="94"/>
    <tableColumn id="2" xr3:uid="{479F1F83-5FE7-49E9-950C-F7CB40E980B8}" name="Importancia de los impactos en el contexto de parámetros (benchmarks) externos y prioridades de los actores de interés " dataDxfId="93"/>
  </tableColumns>
  <tableStyleInfo name="TableStyleLight1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7301AE56-A115-4EAE-B2D9-16CD347F4A0A}" name="Tabla51" displayName="Tabla51" ref="A59:F60" totalsRowShown="0" headerRowDxfId="92" dataDxfId="91">
  <autoFilter ref="A59:F60" xr:uid="{7301AE56-A115-4EAE-B2D9-16CD347F4A0A}"/>
  <tableColumns count="6">
    <tableColumn id="1" xr3:uid="{6DE810C5-8B41-4778-AF10-C768FFA1FDFC}" name="Total de gasto en adquisiciones" dataDxfId="90"/>
    <tableColumn id="2" xr3:uid="{784D6780-0772-407B-B09E-23B1AAD9B43E}" name="Gasto en adquisiciones a proveedores internacionales" dataDxfId="89"/>
    <tableColumn id="3" xr3:uid="{B5F507E1-5917-4645-8390-84AEFBC6C131}" name="Gasto en adquisiciones a proveedores nacionales, no locales (1)" dataDxfId="88"/>
    <tableColumn id="4" xr3:uid="{0BD493D3-9C1C-4AC3-B434-F28501CC6C87}" name="Gasto en adquisiciones a proveedores nacionales, locales (2)" dataDxfId="87"/>
    <tableColumn id="5" xr3:uid="{E339A78A-FB55-468E-8D1B-5E4F3C9C3D9B}" name="% de gasto en adquisiciones a proveedores locales" dataDxfId="86"/>
    <tableColumn id="6" xr3:uid="{842749F8-244C-44DB-AEB7-4AA1E4D45A9F}" name="% de gasto en adquisiciones a proveedores nacionales  (locales y no locales)" dataDxfId="85"/>
  </tableColumns>
  <tableStyleInfo name="TableStyleLight1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7A981EC-AA49-43C8-92DC-839EEFF6067D}" name="Tabla12" displayName="Tabla12" ref="A4:C7" totalsRowCount="1" headerRowDxfId="84" dataDxfId="83" totalsRowDxfId="82" totalsRowCellStyle="Total">
  <autoFilter ref="A4:C6" xr:uid="{07A981EC-AA49-43C8-92DC-839EEFF6067D}"/>
  <tableColumns count="3">
    <tableColumn id="1" xr3:uid="{ACB3B9B0-8497-4B78-AF72-78FF33CD8946}" name="Sitio " totalsRowLabel="Total" dataDxfId="81" totalsRowDxfId="80" totalsRowCellStyle="Total"/>
    <tableColumn id="3" xr3:uid="{BF1DC83A-8F34-4966-9D54-049C5AD79DF3}" name="2020" totalsRowFunction="sum" dataDxfId="79" totalsRowDxfId="78" totalsRowCellStyle="Total"/>
    <tableColumn id="4" xr3:uid="{326932C2-419D-47E6-BB64-9F8FB0294C04}" name="2021" totalsRowFunction="sum" dataDxfId="77" totalsRowDxfId="76" totalsRowCellStyle="Total"/>
  </tableColumns>
  <tableStyleInfo name="TableStyleLight1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AC89E8D-51A0-47CF-94BB-0EE43DBBEE3B}" name="Tabla14" displayName="Tabla14" ref="A31:D34" totalsRowCount="1" headerRowDxfId="75" dataDxfId="74" totalsRowDxfId="73">
  <autoFilter ref="A31:D33" xr:uid="{1AC89E8D-51A0-47CF-94BB-0EE43DBBEE3B}"/>
  <tableColumns count="4">
    <tableColumn id="1" xr3:uid="{9D64AE41-223B-4748-94D5-9D81B5483C9F}" name="Composición de residuos en toneladas métricas (t)" totalsRowLabel="Total" dataDxfId="72" totalsRowDxfId="71"/>
    <tableColumn id="2" xr3:uid="{B6F700FE-4BD1-4A54-AF51-08504C2FCFC5}" name="Residuos generados" totalsRowFunction="sum" dataDxfId="70" totalsRowDxfId="69"/>
    <tableColumn id="3" xr3:uid="{010BA740-31E5-4565-A703-DDC83F3B0AAD}" name="Residuos no destinados a eliminación" totalsRowFunction="sum" dataDxfId="68" totalsRowDxfId="67"/>
    <tableColumn id="4" xr3:uid="{C89697B9-C480-4FD9-B8D3-AD8D9ADAB1C8}" name="Residuos destinados a  eliminación" totalsRowFunction="sum" dataDxfId="66" totalsRowDxfId="65"/>
  </tableColumns>
  <tableStyleInfo name="TableStyleLight1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05E918D-FAA2-41EB-B104-0EE759EA7EDA}" name="Tabla15" displayName="Tabla15" ref="A41:D50" totalsRowShown="0" headerRowDxfId="64" dataDxfId="63">
  <autoFilter ref="A41:D50" xr:uid="{F05E918D-FAA2-41EB-B104-0EE759EA7EDA}"/>
  <tableColumns count="4">
    <tableColumn id="1" xr3:uid="{1656FEBB-685D-432B-8796-56F5077CD8CA}" name="2021 Residuos no metálicos no destinados a eliminación mediante operaciones de valorización en toneladas métricas (t)" dataDxfId="62"/>
    <tableColumn id="2" xr3:uid="{05C7DFB0-08E6-4401-AC7B-B9A498418665}" name="En el sitio" dataDxfId="61"/>
    <tableColumn id="3" xr3:uid="{33270E1D-16A7-40A1-9ECA-C8D7AA76D802}" name="Fuera del sitio" dataDxfId="60"/>
    <tableColumn id="4" xr3:uid="{481AB29C-DCF3-43D3-97D9-DC0802560167}" name="Total" dataDxfId="59"/>
  </tableColumns>
  <tableStyleInfo name="TableStyleLight1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684741F-E539-45B1-8856-158D3DFAF689}" name="Tabla16" displayName="Tabla16" ref="A57:D68" totalsRowCount="1" headerRowDxfId="58" dataDxfId="57" totalsRowDxfId="56" totalsRowCellStyle="Total">
  <autoFilter ref="A57:D67" xr:uid="{7684741F-E539-45B1-8856-158D3DFAF689}"/>
  <tableColumns count="4">
    <tableColumn id="1" xr3:uid="{F0CAE58B-77B0-4B5D-8AE3-9C7EF817E388}" name="2021 Residuos no metálicos destinados a eliminación, mediante operación de eliminación en toneladas métricas (t)" totalsRowLabel="Total" dataDxfId="55" totalsRowDxfId="54"/>
    <tableColumn id="2" xr3:uid="{3A814BD2-F1FA-47B3-93E8-E0370F133558}" name="En el sitio" dataDxfId="53" totalsRowDxfId="52"/>
    <tableColumn id="3" xr3:uid="{F009E036-8295-4D25-A896-2D6E2FB378D3}" name="Fuera del sitio" dataDxfId="51" totalsRowDxfId="50"/>
    <tableColumn id="4" xr3:uid="{103CE8F0-8860-4568-A86A-6D434F9511DE}" name="Total" totalsRowFunction="custom" dataDxfId="49" totalsRowDxfId="48">
      <totalsRowFormula>D58+D63</totalsRowFormula>
    </tableColumn>
  </tableColumns>
  <tableStyleInfo name="TableStyleLight1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1AEA64E-CF9A-4A0D-8E4E-EF12EF3C3E09}" name="Tabla17" displayName="Tabla17" ref="A75:F76" totalsRowShown="0" headerRowDxfId="47" dataDxfId="46">
  <autoFilter ref="A75:F76" xr:uid="{01AEA64E-CF9A-4A0D-8E4E-EF12EF3C3E09}"/>
  <tableColumns count="6">
    <tableColumn id="1" xr3:uid="{D4473053-A149-4562-B74B-73DAA6E32884}" name="Chatarra" dataDxfId="45"/>
    <tableColumn id="2" xr3:uid="{A6CC9F43-6B02-45F9-BB5E-C60FEB345A28}" name="Carbón de desecho" dataDxfId="44"/>
    <tableColumn id="3" xr3:uid="{8F789DD0-0804-4A45-9396-100D17B1E14F}" name="Aceite usado" dataDxfId="43"/>
    <tableColumn id="4" xr3:uid="{5293FDA3-9C40-4C9F-ADA2-285C60A7A52E}" name="Llantas" dataDxfId="42"/>
    <tableColumn id="5" xr3:uid="{2BB7AC63-4439-4F03-A7CE-C8F7F657A92E}" name="Baterías" dataDxfId="41"/>
    <tableColumn id="6" xr3:uid="{85F64C15-6A8C-41D4-8D7B-F1E7740CD1D9}" name="Otros residuos sólidos" dataDxfId="40"/>
  </tableColumns>
  <tableStyleInfo name="TableStyleLight1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77DB870-7872-44CA-BFF3-94BD70D15A32}" name="Tabla18" displayName="Tabla18" ref="A83:L88" totalsRowShown="0" headerRowDxfId="39" dataDxfId="38">
  <autoFilter ref="A83:L88" xr:uid="{177DB870-7872-44CA-BFF3-94BD70D15A32}"/>
  <tableColumns count="12">
    <tableColumn id="1" xr3:uid="{8956F0B1-1B9F-4CE9-A4F5-155DBFB6C69F}" name="(a) Nombre de la instalación" dataDxfId="37"/>
    <tableColumn id="2" xr3:uid="{951D0920-54FF-4F15-A11D-2CAE000446E1}" name="(b) Ubicación" dataDxfId="36"/>
    <tableColumn id="3" xr3:uid="{72B433F6-7654-41F6-8BD1-8BD43FAA62A2}" name="(c) Situación de la propiedad" dataDxfId="35"/>
    <tableColumn id="4" xr3:uid="{B987B214-97AF-45C9-AEF8-F9029E3CF7DA}" name="(d) Estado de funcionamiento" dataDxfId="34"/>
    <tableColumn id="5" xr3:uid="{1A106A6E-30A5-494B-AC26-F3AA3B8F1AFB}" name="(e) Método de construcción" dataDxfId="33"/>
    <tableColumn id="6" xr3:uid="{45D7EF97-944C-46E0-A4E8-440B6AC7D869}" name="(f) Capacidad máxima de almacenamiento permitida (t)" dataDxfId="32"/>
    <tableColumn id="7" xr3:uid="{C19B5781-9105-4380-9228-735352A04D0F}" name="(g) Cantidad actual de colas almacenadas" dataDxfId="31"/>
    <tableColumn id="8" xr3:uid="{67E50E66-7229-4B3E-8BE2-83FF3BDC54AD}" name="(h) Clasificación de consecuencias" dataDxfId="30"/>
    <tableColumn id="9" xr3:uid="{FE8AAAC1-B36E-401E-946E-0D076EBE73DE}" name="(i) Fecha de examen técnico independiente más reciente" dataDxfId="29"/>
    <tableColumn id="10" xr3:uid="{B7045483-CD38-413A-A095-391989335391}" name="(j) Hallazgos materiales" dataDxfId="28"/>
    <tableColumn id="11" xr3:uid="{E9193187-6A0F-4696-A157-3524AB431526}" name="(k) Medidas de mitigación" dataDxfId="27"/>
    <tableColumn id="12" xr3:uid="{77215E84-7454-498E-8BCA-9C05534609E4}" name="(l) EPRP específico para cada sitio" dataDxfId="26"/>
  </tableColumns>
  <tableStyleInfo name="TableStyleLight1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98A7E51-DD27-411B-84E8-36A1E013E57A}" name="Tabla19" displayName="Tabla19" ref="A92:E95" totalsRowCount="1" headerRowDxfId="25" dataDxfId="24" totalsRowDxfId="23" totalsRowCellStyle="Total">
  <autoFilter ref="A92:E94" xr:uid="{898A7E51-DD27-411B-84E8-36A1E013E57A}"/>
  <tableColumns count="5">
    <tableColumn id="1" xr3:uid="{D06CE283-BD68-4216-8151-7B124254EE12}" name="Sitio " totalsRowLabel="Total" dataDxfId="22" totalsRowDxfId="21" totalsRowCellStyle="Total"/>
    <tableColumn id="2" xr3:uid="{787551E4-84BA-4136-A406-0005666546F1}" name=" # PDC con potencial de riesgo alto" totalsRowFunction="sum" dataDxfId="20" totalsRowDxfId="19" totalsRowCellStyle="Total"/>
    <tableColumn id="3" xr3:uid="{78226F77-1C5B-4A05-871B-760FAB91220C}" name="# PDC con potencial de riesgo significativo" totalsRowFunction="sum" dataDxfId="18" totalsRowDxfId="17" totalsRowCellStyle="Total"/>
    <tableColumn id="4" xr3:uid="{8C09A30A-6AE4-443A-9A88-89DDEE15C164}" name="# PDC con potencial de riesgo bajo" totalsRowFunction="sum" dataDxfId="16" totalsRowDxfId="15" totalsRowCellStyle="Total"/>
    <tableColumn id="5" xr3:uid="{316FAC63-F20E-4CEA-A229-55365B9495B8}" name="Total de embalses de relaves" totalsRowFunction="sum" dataDxfId="14" totalsRowDxfId="13" totalsRowCellStyle="Total"/>
  </tableColumns>
  <tableStyleInfo name="TableStyleLight1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23D92A8-BE93-4F83-ACE3-CE60CCAA92BF}" name="Tabla11" displayName="Tabla11" ref="A65:H70" totalsRowShown="0" headerRowDxfId="12" dataDxfId="10" headerRowBorderDxfId="11" tableBorderDxfId="9" totalsRowBorderDxfId="8">
  <autoFilter ref="A65:H70" xr:uid="{523D92A8-BE93-4F83-ACE3-CE60CCAA92BF}"/>
  <tableColumns count="8">
    <tableColumn id="1" xr3:uid="{BAF320A5-F5EC-44B7-8A43-4C7F25BB889D}" name="Consumo de agua" dataDxfId="7"/>
    <tableColumn id="2" xr3:uid="{D71576FC-A520-4822-92ED-083C3D826C29}" name="Complejo El Limón" dataDxfId="6"/>
    <tableColumn id="3" xr3:uid="{492B1ABE-2CA7-4B8E-8669-53AB030BA032}" name="Complejo La Libertad" dataDxfId="5"/>
    <tableColumn id="4" xr3:uid="{EA8A30DA-4668-4295-9D10-39ADDE5CB843}" name="Total" dataDxfId="4"/>
    <tableColumn id="5" xr3:uid="{7DB4CFD7-455A-4B5F-85DC-1B3AEA5AC0B8}" name="Complejo El Limón2" dataDxfId="3"/>
    <tableColumn id="6" xr3:uid="{8BA8FB43-A7E0-4E05-B1CA-5C3F419511C7}" name="Complejo La Libertad3" dataDxfId="2"/>
    <tableColumn id="7" xr3:uid="{D2F3611B-79DA-4511-8D9A-94810136B180}" name="Proyecto Eastern Borosi (EBP)" dataDxfId="1"/>
    <tableColumn id="8" xr3:uid="{0BAFAC6C-A303-4B19-BBB9-E275674288BE}" name="Total2" dataDxfId="0"/>
  </tableColumns>
  <tableStyleInfo name="TableStyleLight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BC62A3F-D74D-46D4-BDC2-FF7631AAA9AD}" name="Tabla47" displayName="Tabla47" ref="A4:F8" totalsRowShown="0" headerRowDxfId="396" dataDxfId="395">
  <autoFilter ref="A4:F8" xr:uid="{9BC62A3F-D74D-46D4-BDC2-FF7631AAA9AD}"/>
  <tableColumns count="6">
    <tableColumn id="1" xr3:uid="{E2192A12-401D-442D-95FB-D7EB4E1B47D5}" name="Sitio" dataDxfId="394"/>
    <tableColumn id="2" xr3:uid="{12D910CA-2492-40DF-8F7A-7E1362E49E74}" name="¿MAPE presente?" dataDxfId="393"/>
    <tableColumn id="3" xr3:uid="{4024CBA2-F969-4CBC-BD20-F537C7D209E1}" name="Ubicación" dataDxfId="392"/>
    <tableColumn id="4" xr3:uid="{44202D3E-78F1-4FB7-AE2D-F4737240440E}" name="# trabajadores MAPE " dataDxfId="391"/>
    <tableColumn id="5" xr3:uid="{B42EE57B-14FC-44BF-8515-C77BAC72A91F}" name="Riesgos conexos " dataDxfId="390"/>
    <tableColumn id="6" xr3:uid="{90D9B2CB-720D-468A-9791-94CC2666E5ED}" name="Acciones tomadas" dataDxfId="389"/>
  </tableColumns>
  <tableStyleInfo name="TableStyleLight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4EDC3869-4941-4CEA-B632-DB9607F99D8E}" name="Tabla48" displayName="Tabla48" ref="A16:G20" totalsRowCount="1" headerRowDxfId="388" dataDxfId="387" totalsRowDxfId="386" totalsRowCellStyle="Total">
  <autoFilter ref="A16:G19" xr:uid="{4EDC3869-4941-4CEA-B632-DB9607F99D8E}"/>
  <tableColumns count="7">
    <tableColumn id="1" xr3:uid="{AE04C3EE-4C7E-43F1-8D64-C296DB8C2BC5}" name="Sitio de origen" totalsRowLabel="Total" dataDxfId="385" totalsRowDxfId="384" totalsRowCellStyle="Total"/>
    <tableColumn id="2" xr3:uid="{CD76B577-BD8E-4DE8-A58F-A3ADAE7EC8EA}" name="Mineral Comprado (toneladas)" totalsRowFunction="sum" dataDxfId="383" totalsRowDxfId="382" totalsRowCellStyle="Total"/>
    <tableColumn id="3" xr3:uid="{9F548C5A-B997-4301-B2DB-BB82563583EE}" name="Hg (onzas) / tonelada de mineral (1)" dataDxfId="381" totalsRowDxfId="380" totalsRowCellStyle="Total"/>
    <tableColumn id="4" xr3:uid="{9C2C4D7F-E67A-4E58-AE6B-7BA4425D8275}" name="Total Hg (onzas)" totalsRowFunction="sum" dataDxfId="379" totalsRowDxfId="378" totalsRowCellStyle="Total"/>
    <tableColumn id="5" xr3:uid="{9A2EB669-494A-4A9A-9F9B-20AD83F04ABB}" name="Total Hg (toneladas)" totalsRowFunction="sum" dataDxfId="377" totalsRowDxfId="376" totalsRowCellStyle="Total"/>
    <tableColumn id="6" xr3:uid="{D17F1121-2C51-4E49-B6CC-23D849125567}" name="H2O (cubic meters) / tonne ore (1) H2O (metros cúbicos) / tonelada de mineral (1)" dataDxfId="375" totalsRowDxfId="374" totalsRowCellStyle="Total"/>
    <tableColumn id="7" xr3:uid="{BFED1526-D820-43EE-8606-CEF3295E4796}" name="Total H2O (cubic meters) Total H2O (metros cúbicos)" totalsRowFunction="sum" dataDxfId="373" totalsRowDxfId="372" totalsRowCellStyle="Total"/>
  </tableColumns>
  <tableStyleInfo name="TableStyleLight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0BD0826-B1AF-41CE-900F-2091AF530C0E}" name="Tabla20" displayName="Tabla20" ref="A4:G8" totalsRowShown="0" headerRowDxfId="371" dataDxfId="370">
  <autoFilter ref="A4:G8" xr:uid="{C0BD0826-B1AF-41CE-900F-2091AF530C0E}"/>
  <tableColumns count="7">
    <tableColumn id="1" xr3:uid="{8FAC4D30-8FFB-4721-BFD4-F123F058064B}" name="Site " dataDxfId="369"/>
    <tableColumn id="2" xr3:uid="{72E9B8AA-54DD-43B3-B629-9C8E8CABF10D}" name="Naturaleza del impacto" dataDxfId="368"/>
    <tableColumn id="3" xr3:uid="{D8DA94D6-F9DE-4BD8-B399-0F4F5D72E9C6}" name="Tipo de impacto" dataDxfId="367"/>
    <tableColumn id="4" xr3:uid="{DF696072-B173-4271-9BAC-5791B18B3A69}" name="Especies afectadas" dataDxfId="366"/>
    <tableColumn id="5" xr3:uid="{8C83C025-9F60-4FF8-86EC-4A2CABF4D7F0}" name="Tamaño del área en km2" dataDxfId="365"/>
    <tableColumn id="6" xr3:uid="{7F1AC567-614D-4898-BACB-43E468EC206C}" name="Duración" dataDxfId="364"/>
    <tableColumn id="7" xr3:uid="{98854171-DF7A-4A12-B802-967E501CDC13}" name="¿Reversible?" dataDxfId="363"/>
  </tableColumns>
  <tableStyleInfo name="TableStyleLight1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E622B59-38FE-464B-9DD4-C3EE126618B9}" name="Tabla21" displayName="Tabla21" ref="A14:H17" totalsRowCount="1" headerRowDxfId="362" dataDxfId="361" totalsRowDxfId="360" totalsRowCellStyle="Total">
  <autoFilter ref="A14:H16" xr:uid="{5E622B59-38FE-464B-9DD4-C3EE126618B9}"/>
  <tableColumns count="8">
    <tableColumn id="1" xr3:uid="{39E7CDEE-2C64-45B1-8E99-A387329A4485}" name="Sitio" totalsRowLabel="Total" dataDxfId="359" totalsRowDxfId="358" totalsRowCellStyle="Total"/>
    <tableColumn id="2" xr3:uid="{90D5B4D1-6D51-48BC-90EC-EC67CE59B3B0}" name="Tamaño de hábitat protegido (1) en km2" totalsRowFunction="sum" dataDxfId="357" totalsRowDxfId="356" totalsRowCellStyle="Total"/>
    <tableColumn id="3" xr3:uid="{8E3399DA-519B-49D0-BAEE-CF21D149D996}" name="Ubicación geográfica de hábitat protegido" dataDxfId="355" totalsRowDxfId="354" totalsRowCellStyle="Total"/>
    <tableColumn id="4" xr3:uid="{81FBFE2F-5F57-4C90-B510-B550ED092AEC}" name="Tamaño del hábitat restaurado en Km2" totalsRowFunction="sum" dataDxfId="353" totalsRowDxfId="352" totalsRowCellStyle="Total"/>
    <tableColumn id="5" xr3:uid="{8F560D90-A9D3-4B1F-8DDA-C869F94CD4EB}" name="Ubicación geográfica del hábitat restaurado" dataDxfId="351" totalsRowDxfId="350" totalsRowCellStyle="Total"/>
    <tableColumn id="6" xr3:uid="{48A94581-55CE-4F56-B39F-1301F885CD41}" name="Restauración sujeta a Inspección Independiente / Auditoría?_x000a__x000a__x000a__x000a_" dataDxfId="349" totalsRowDxfId="348" totalsRowCellStyle="Total"/>
    <tableColumn id="7" xr3:uid="{EB4C3FD5-46D2-494C-934D-1572B0AC8AF7}" name="¿Asociación con terceros?" dataDxfId="347" totalsRowDxfId="346" totalsRowCellStyle="Total"/>
    <tableColumn id="8" xr3:uid="{160CC90E-6FE2-4004-9D61-67D47203126B}" name="Estado de la zona" totalsRowFunction="count" dataDxfId="345" totalsRowDxfId="344" totalsRowCellStyle="Total"/>
  </tableColumns>
  <tableStyleInfo name="TableStyleLight1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4AB07E2-24AC-486C-B7DA-FF5427283E97}" name="Tabla22" displayName="Tabla22" ref="A22:E27" totalsRowCount="1" headerRowDxfId="343" dataDxfId="342" totalsRowDxfId="341" totalsRowCellStyle="Total">
  <autoFilter ref="A22:E26" xr:uid="{54AB07E2-24AC-486C-B7DA-FF5427283E97}"/>
  <tableColumns count="5">
    <tableColumn id="1" xr3:uid="{2017E50D-CA4C-47F5-BE87-F5DEE82A2D7D}" name="Sitio  " totalsRowLabel="Total" dataDxfId="340" totalsRowDxfId="339" totalsRowCellStyle="Total"/>
    <tableColumn id="2" xr3:uid="{980855A6-7657-4714-B2A1-0C92D52758DE}" name="Cantidd total de suelo alterado al inicio del período de informe (saldo de apertura) - km2" totalsRowFunction="sum" dataDxfId="338" totalsRowDxfId="337" totalsRowCellStyle="Total"/>
    <tableColumn id="3" xr3:uid="{2AE74937-7D9A-4540-96C7-99DFE6BE9F0C}" name="Nuevo suelo alterado durante  durante 2021 - Km2" totalsRowFunction="sum" dataDxfId="336" totalsRowDxfId="335" totalsRowCellStyle="Total"/>
    <tableColumn id="4" xr3:uid="{3A945350-EBFE-4BE6-B996-8E4E4FE73DF2}" name="Rehabilitación lograda (para el uso final acordado) durante el periodo de informe  - Km2 (1) _x000a__x000a__x000a_" totalsRowFunction="sum" dataDxfId="334" totalsRowDxfId="333" totalsRowCellStyle="Total"/>
    <tableColumn id="5" xr3:uid="{3D78F47E-7F03-4B51-9470-029548CA59E8}" name="Total de suelo alterado todavía no rehabilitado para el uso final acordado al término del periodo de informe (saldo de cierre)  - km2" totalsRowFunction="sum" dataDxfId="332" totalsRowDxfId="331" totalsRowCellStyle="Total"/>
  </tableColumns>
  <tableStyleInfo name="TableStyleLight12" showFirstColumn="0" showLastColumn="0" showRowStripes="1" showColumnStripes="0"/>
</table>
</file>

<file path=xl/theme/theme1.xml><?xml version="1.0" encoding="utf-8"?>
<a:theme xmlns:a="http://schemas.openxmlformats.org/drawingml/2006/main" name="Tema de Office">
  <a:themeElements>
    <a:clrScheme name="Calibre">
      <a:dk1>
        <a:srgbClr val="000000"/>
      </a:dk1>
      <a:lt1>
        <a:srgbClr val="FFFFFF"/>
      </a:lt1>
      <a:dk2>
        <a:srgbClr val="003084"/>
      </a:dk2>
      <a:lt2>
        <a:srgbClr val="F2F2F2"/>
      </a:lt2>
      <a:accent1>
        <a:srgbClr val="003084"/>
      </a:accent1>
      <a:accent2>
        <a:srgbClr val="00620A"/>
      </a:accent2>
      <a:accent3>
        <a:srgbClr val="D49600"/>
      </a:accent3>
      <a:accent4>
        <a:srgbClr val="6073A9"/>
      </a:accent4>
      <a:accent5>
        <a:srgbClr val="68916B"/>
      </a:accent5>
      <a:accent6>
        <a:srgbClr val="C3C9DE"/>
      </a:accent6>
      <a:hlink>
        <a:srgbClr val="00620A"/>
      </a:hlink>
      <a:folHlink>
        <a:srgbClr val="9696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2-04-22T20:41:53.67" personId="{75737D67-E953-4971-9BAB-600ECD200C8A}" id="{A40D2AFB-FFEC-4DA9-AC87-5B38316F8378}" done="1">
    <text>Suggest making table name consistent with updated table name in report: Estimated Mercury (Hg) and Untreated Wastewater Pollution from Artisanal Mills Avoided due to Calibre Ore Processing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36.xml"/><Relationship Id="rId3" Type="http://schemas.openxmlformats.org/officeDocument/2006/relationships/table" Target="../tables/table31.xml"/><Relationship Id="rId7" Type="http://schemas.openxmlformats.org/officeDocument/2006/relationships/table" Target="../tables/table35.xml"/><Relationship Id="rId2" Type="http://schemas.openxmlformats.org/officeDocument/2006/relationships/drawing" Target="../drawings/drawing11.xml"/><Relationship Id="rId1" Type="http://schemas.openxmlformats.org/officeDocument/2006/relationships/printerSettings" Target="../printerSettings/printerSettings6.bin"/><Relationship Id="rId6" Type="http://schemas.openxmlformats.org/officeDocument/2006/relationships/table" Target="../tables/table34.xml"/><Relationship Id="rId5" Type="http://schemas.openxmlformats.org/officeDocument/2006/relationships/table" Target="../tables/table33.xml"/><Relationship Id="rId4" Type="http://schemas.openxmlformats.org/officeDocument/2006/relationships/table" Target="../tables/table3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14.xml"/><Relationship Id="rId1" Type="http://schemas.openxmlformats.org/officeDocument/2006/relationships/printerSettings" Target="../printerSettings/printerSettings7.bin"/><Relationship Id="rId5" Type="http://schemas.openxmlformats.org/officeDocument/2006/relationships/table" Target="../tables/table41.xml"/><Relationship Id="rId4" Type="http://schemas.openxmlformats.org/officeDocument/2006/relationships/table" Target="../tables/table40.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48.xml"/><Relationship Id="rId3" Type="http://schemas.openxmlformats.org/officeDocument/2006/relationships/table" Target="../tables/table43.xml"/><Relationship Id="rId7" Type="http://schemas.openxmlformats.org/officeDocument/2006/relationships/table" Target="../tables/table47.xml"/><Relationship Id="rId2" Type="http://schemas.openxmlformats.org/officeDocument/2006/relationships/table" Target="../tables/table42.xml"/><Relationship Id="rId1" Type="http://schemas.openxmlformats.org/officeDocument/2006/relationships/drawing" Target="../drawings/drawing15.xml"/><Relationship Id="rId6" Type="http://schemas.openxmlformats.org/officeDocument/2006/relationships/table" Target="../tables/table46.xml"/><Relationship Id="rId5" Type="http://schemas.openxmlformats.org/officeDocument/2006/relationships/table" Target="../tables/table45.xml"/><Relationship Id="rId4" Type="http://schemas.openxmlformats.org/officeDocument/2006/relationships/table" Target="../tables/table44.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49.xml"/><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frs.org/" TargetMode="External"/><Relationship Id="rId13" Type="http://schemas.openxmlformats.org/officeDocument/2006/relationships/drawing" Target="../drawings/drawing2.xml"/><Relationship Id="rId3" Type="http://schemas.openxmlformats.org/officeDocument/2006/relationships/hyperlink" Target="https://www.calibremining.com/esg/overview/" TargetMode="External"/><Relationship Id="rId7" Type="http://schemas.openxmlformats.org/officeDocument/2006/relationships/hyperlink" Target="https://cyanidecode.org/" TargetMode="External"/><Relationship Id="rId12" Type="http://schemas.openxmlformats.org/officeDocument/2006/relationships/printerSettings" Target="../printerSettings/printerSettings2.bin"/><Relationship Id="rId2" Type="http://schemas.openxmlformats.org/officeDocument/2006/relationships/hyperlink" Target="https://www.gold.org/" TargetMode="External"/><Relationship Id="rId16" Type="http://schemas.openxmlformats.org/officeDocument/2006/relationships/table" Target="../tables/table4.xml"/><Relationship Id="rId1" Type="http://schemas.openxmlformats.org/officeDocument/2006/relationships/hyperlink" Target="http://www.calibremining.com/" TargetMode="External"/><Relationship Id="rId6" Type="http://schemas.openxmlformats.org/officeDocument/2006/relationships/hyperlink" Target="https://www.voluntaryprinciples.org/" TargetMode="External"/><Relationship Id="rId11" Type="http://schemas.openxmlformats.org/officeDocument/2006/relationships/hyperlink" Target="https://www.ifc.org/wps/wcm/connect/topics_ext_content/ifc_external_corporate_site/sustainability-at-ifc/publications/publications_handbook_pps" TargetMode="External"/><Relationship Id="rId5" Type="http://schemas.openxmlformats.org/officeDocument/2006/relationships/hyperlink" Target="https://www.ohchr.org/documents/publications/guidingprinciplesbusinesshr_en.pdf" TargetMode="External"/><Relationship Id="rId15" Type="http://schemas.openxmlformats.org/officeDocument/2006/relationships/table" Target="../tables/table3.xml"/><Relationship Id="rId10" Type="http://schemas.openxmlformats.org/officeDocument/2006/relationships/hyperlink" Target="https://www.icmm.com/" TargetMode="External"/><Relationship Id="rId4" Type="http://schemas.openxmlformats.org/officeDocument/2006/relationships/hyperlink" Target="http://caminic.com/" TargetMode="External"/><Relationship Id="rId9" Type="http://schemas.openxmlformats.org/officeDocument/2006/relationships/hyperlink" Target="https://sdgs.un.org/goals" TargetMode="External"/><Relationship Id="rId1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drawing" Target="../drawings/drawing6.xm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drawing" Target="../drawings/drawing7.xml"/><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_rels/sheet8.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table" Target="../tables/table29.xml"/><Relationship Id="rId3" Type="http://schemas.openxmlformats.org/officeDocument/2006/relationships/table" Target="../tables/table24.xml"/><Relationship Id="rId7" Type="http://schemas.openxmlformats.org/officeDocument/2006/relationships/table" Target="../tables/table28.xml"/><Relationship Id="rId2" Type="http://schemas.openxmlformats.org/officeDocument/2006/relationships/table" Target="../tables/table23.xml"/><Relationship Id="rId1" Type="http://schemas.openxmlformats.org/officeDocument/2006/relationships/drawing" Target="../drawings/drawing9.xml"/><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table" Target="../tables/table25.xml"/><Relationship Id="rId9"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BD9C3-2674-46E4-920B-1EC236BFA9B9}">
  <sheetPr>
    <tabColor theme="3"/>
    <pageSetUpPr fitToPage="1"/>
  </sheetPr>
  <dimension ref="B12:F98"/>
  <sheetViews>
    <sheetView showGridLines="0" tabSelected="1" zoomScale="90" zoomScaleNormal="90" workbookViewId="0">
      <pane xSplit="1" ySplit="14" topLeftCell="B72" activePane="bottomRight" state="frozen"/>
      <selection pane="topRight" activeCell="B1" sqref="B1"/>
      <selection pane="bottomLeft" activeCell="A15" sqref="A15"/>
      <selection pane="bottomRight" activeCell="D88" sqref="D88"/>
    </sheetView>
  </sheetViews>
  <sheetFormatPr defaultColWidth="11.42578125" defaultRowHeight="15"/>
  <cols>
    <col min="1" max="1" width="4" style="10" customWidth="1"/>
    <col min="2" max="2" width="38.140625" style="10" bestFit="1" customWidth="1"/>
    <col min="3" max="3" width="4.85546875" style="10" customWidth="1"/>
    <col min="4" max="4" width="71" style="10" customWidth="1"/>
    <col min="5" max="5" width="63" style="10" bestFit="1" customWidth="1"/>
    <col min="6" max="6" width="69.42578125" style="10" bestFit="1" customWidth="1"/>
    <col min="7" max="16384" width="11.42578125" style="10"/>
  </cols>
  <sheetData>
    <row r="12" spans="2:6" ht="21.75" thickBot="1">
      <c r="B12" s="363" t="s">
        <v>199</v>
      </c>
      <c r="C12" s="363"/>
      <c r="D12" s="363"/>
      <c r="E12" s="363"/>
      <c r="F12" s="363"/>
    </row>
    <row r="13" spans="2:6" ht="62.25" customHeight="1">
      <c r="B13" s="360" t="s">
        <v>1228</v>
      </c>
      <c r="C13" s="360"/>
      <c r="D13" s="360"/>
      <c r="E13" s="360"/>
      <c r="F13" s="360"/>
    </row>
    <row r="15" spans="2:6" ht="18" thickBot="1">
      <c r="B15" s="361" t="s">
        <v>200</v>
      </c>
      <c r="C15" s="361"/>
      <c r="D15" s="361"/>
      <c r="E15" s="361"/>
      <c r="F15" s="361"/>
    </row>
    <row r="16" spans="2:6" ht="15.75" thickTop="1">
      <c r="B16" s="362" t="s">
        <v>1229</v>
      </c>
      <c r="C16" s="362"/>
      <c r="D16" s="362"/>
      <c r="E16" s="362"/>
      <c r="F16" s="362"/>
    </row>
    <row r="18" spans="2:6" ht="18" thickBot="1">
      <c r="B18" s="361" t="s">
        <v>201</v>
      </c>
      <c r="C18" s="361"/>
      <c r="D18" s="361"/>
      <c r="E18" s="361"/>
      <c r="F18" s="361"/>
    </row>
    <row r="19" spans="2:6" ht="73.5" customHeight="1" thickTop="1">
      <c r="B19" s="362" t="s">
        <v>207</v>
      </c>
      <c r="C19" s="362"/>
      <c r="D19" s="362"/>
      <c r="E19" s="362"/>
      <c r="F19" s="362"/>
    </row>
    <row r="21" spans="2:6" ht="18" thickBot="1">
      <c r="B21" s="359" t="s">
        <v>202</v>
      </c>
      <c r="C21" s="359"/>
      <c r="D21" s="359"/>
      <c r="E21" s="359"/>
      <c r="F21" s="359"/>
    </row>
    <row r="22" spans="2:6" ht="155.25" customHeight="1" thickTop="1">
      <c r="B22" s="360" t="s">
        <v>233</v>
      </c>
      <c r="C22" s="360"/>
      <c r="D22" s="360"/>
      <c r="E22" s="360"/>
      <c r="F22" s="360"/>
    </row>
    <row r="24" spans="2:6" ht="18" thickBot="1">
      <c r="B24" s="361" t="s">
        <v>203</v>
      </c>
      <c r="C24" s="361"/>
      <c r="D24" s="361"/>
      <c r="E24" s="361"/>
      <c r="F24" s="361"/>
    </row>
    <row r="25" spans="2:6" ht="15.75" thickTop="1">
      <c r="B25" s="362" t="s">
        <v>204</v>
      </c>
      <c r="C25" s="362"/>
      <c r="D25" s="362"/>
      <c r="E25" s="362"/>
      <c r="F25" s="362"/>
    </row>
    <row r="26" spans="2:6">
      <c r="B26" s="11"/>
      <c r="C26" s="11"/>
      <c r="D26" s="11"/>
      <c r="E26" s="11"/>
      <c r="F26" s="11"/>
    </row>
    <row r="27" spans="2:6">
      <c r="B27" s="14" t="s">
        <v>1230</v>
      </c>
      <c r="C27" s="14" t="s">
        <v>0</v>
      </c>
      <c r="D27" s="14" t="s">
        <v>1231</v>
      </c>
      <c r="E27" s="14" t="s">
        <v>1232</v>
      </c>
      <c r="F27" s="14" t="s">
        <v>519</v>
      </c>
    </row>
    <row r="28" spans="2:6">
      <c r="B28" s="12" t="s">
        <v>208</v>
      </c>
      <c r="C28" s="13">
        <v>1</v>
      </c>
      <c r="D28" s="12" t="s">
        <v>205</v>
      </c>
      <c r="E28" s="12" t="s">
        <v>1</v>
      </c>
      <c r="F28" s="12" t="s">
        <v>226</v>
      </c>
    </row>
    <row r="29" spans="2:6">
      <c r="B29" s="12" t="s">
        <v>208</v>
      </c>
      <c r="C29" s="13">
        <v>2</v>
      </c>
      <c r="D29" s="12" t="s">
        <v>206</v>
      </c>
      <c r="E29" s="12" t="s">
        <v>2</v>
      </c>
      <c r="F29" s="12" t="s">
        <v>209</v>
      </c>
    </row>
    <row r="30" spans="2:6">
      <c r="B30" s="12" t="s">
        <v>208</v>
      </c>
      <c r="C30" s="13">
        <v>3</v>
      </c>
      <c r="D30" s="12" t="s">
        <v>249</v>
      </c>
      <c r="E30" s="12" t="s">
        <v>3</v>
      </c>
      <c r="F30" s="12" t="s">
        <v>210</v>
      </c>
    </row>
    <row r="31" spans="2:6">
      <c r="B31" s="12" t="s">
        <v>208</v>
      </c>
      <c r="C31" s="13">
        <v>4</v>
      </c>
      <c r="D31" s="12" t="s">
        <v>250</v>
      </c>
      <c r="E31" s="12" t="s">
        <v>4</v>
      </c>
      <c r="F31" s="12" t="s">
        <v>211</v>
      </c>
    </row>
    <row r="32" spans="2:6">
      <c r="B32" s="12" t="s">
        <v>208</v>
      </c>
      <c r="C32" s="13">
        <v>5</v>
      </c>
      <c r="D32" s="12" t="s">
        <v>252</v>
      </c>
      <c r="E32" s="12" t="s">
        <v>5</v>
      </c>
      <c r="F32" s="12" t="s">
        <v>227</v>
      </c>
    </row>
    <row r="33" spans="2:6">
      <c r="B33" s="12" t="s">
        <v>208</v>
      </c>
      <c r="C33" s="13">
        <v>6</v>
      </c>
      <c r="D33" s="12" t="s">
        <v>251</v>
      </c>
      <c r="E33" s="12" t="s">
        <v>6</v>
      </c>
      <c r="F33" s="12" t="s">
        <v>212</v>
      </c>
    </row>
    <row r="34" spans="2:6">
      <c r="B34" s="12" t="s">
        <v>234</v>
      </c>
      <c r="C34" s="13">
        <v>7</v>
      </c>
      <c r="D34" s="12" t="s">
        <v>253</v>
      </c>
      <c r="E34" s="12" t="s">
        <v>7</v>
      </c>
      <c r="F34" s="12" t="s">
        <v>213</v>
      </c>
    </row>
    <row r="35" spans="2:6">
      <c r="B35" s="12" t="s">
        <v>234</v>
      </c>
      <c r="C35" s="12">
        <v>8</v>
      </c>
      <c r="D35" s="12" t="s">
        <v>254</v>
      </c>
      <c r="E35" s="12" t="s">
        <v>8</v>
      </c>
      <c r="F35" s="12" t="s">
        <v>214</v>
      </c>
    </row>
    <row r="36" spans="2:6">
      <c r="B36" s="12" t="s">
        <v>234</v>
      </c>
      <c r="C36" s="12">
        <v>9</v>
      </c>
      <c r="D36" s="12" t="s">
        <v>1233</v>
      </c>
      <c r="E36" s="12" t="s">
        <v>9</v>
      </c>
      <c r="F36" s="12" t="s">
        <v>228</v>
      </c>
    </row>
    <row r="37" spans="2:6">
      <c r="B37" s="12" t="s">
        <v>234</v>
      </c>
      <c r="C37" s="12">
        <v>10</v>
      </c>
      <c r="D37" s="12" t="s">
        <v>1234</v>
      </c>
      <c r="E37" s="12" t="s">
        <v>10</v>
      </c>
      <c r="F37" s="12" t="s">
        <v>228</v>
      </c>
    </row>
    <row r="38" spans="2:6">
      <c r="B38" s="12" t="s">
        <v>234</v>
      </c>
      <c r="C38" s="12">
        <v>11</v>
      </c>
      <c r="D38" s="12" t="s">
        <v>1235</v>
      </c>
      <c r="E38" s="12" t="s">
        <v>11</v>
      </c>
      <c r="F38" s="12" t="s">
        <v>228</v>
      </c>
    </row>
    <row r="39" spans="2:6">
      <c r="B39" s="12" t="s">
        <v>235</v>
      </c>
      <c r="C39" s="12">
        <v>12</v>
      </c>
      <c r="D39" s="12" t="s">
        <v>255</v>
      </c>
      <c r="E39" s="12" t="s">
        <v>12</v>
      </c>
      <c r="F39" s="12" t="s">
        <v>215</v>
      </c>
    </row>
    <row r="40" spans="2:6">
      <c r="B40" s="12" t="s">
        <v>236</v>
      </c>
      <c r="C40" s="12">
        <v>13</v>
      </c>
      <c r="D40" s="12" t="s">
        <v>256</v>
      </c>
      <c r="E40" s="12" t="s">
        <v>13</v>
      </c>
      <c r="F40" s="12" t="s">
        <v>216</v>
      </c>
    </row>
    <row r="41" spans="2:6">
      <c r="B41" s="12" t="s">
        <v>237</v>
      </c>
      <c r="C41" s="12">
        <v>14</v>
      </c>
      <c r="D41" s="12" t="s">
        <v>257</v>
      </c>
      <c r="E41" s="12" t="s">
        <v>14</v>
      </c>
      <c r="F41" s="12" t="s">
        <v>217</v>
      </c>
    </row>
    <row r="42" spans="2:6">
      <c r="B42" s="12" t="s">
        <v>238</v>
      </c>
      <c r="C42" s="12">
        <v>15</v>
      </c>
      <c r="D42" s="12" t="s">
        <v>258</v>
      </c>
      <c r="E42" s="12" t="s">
        <v>1</v>
      </c>
      <c r="F42" s="12" t="s">
        <v>218</v>
      </c>
    </row>
    <row r="43" spans="2:6">
      <c r="B43" s="12" t="s">
        <v>238</v>
      </c>
      <c r="C43" s="12">
        <v>16</v>
      </c>
      <c r="D43" s="12" t="s">
        <v>259</v>
      </c>
      <c r="E43" s="12" t="s">
        <v>15</v>
      </c>
      <c r="F43" s="12" t="s">
        <v>218</v>
      </c>
    </row>
    <row r="44" spans="2:6">
      <c r="B44" s="12" t="s">
        <v>238</v>
      </c>
      <c r="C44" s="12">
        <v>17</v>
      </c>
      <c r="D44" s="12" t="s">
        <v>260</v>
      </c>
      <c r="E44" s="12" t="s">
        <v>16</v>
      </c>
      <c r="F44" s="12" t="s">
        <v>218</v>
      </c>
    </row>
    <row r="45" spans="2:6">
      <c r="B45" s="12" t="s">
        <v>238</v>
      </c>
      <c r="C45" s="12">
        <v>18</v>
      </c>
      <c r="D45" s="12" t="s">
        <v>261</v>
      </c>
      <c r="E45" s="12" t="s">
        <v>17</v>
      </c>
      <c r="F45" s="12" t="s">
        <v>218</v>
      </c>
    </row>
    <row r="46" spans="2:6">
      <c r="B46" s="12" t="s">
        <v>239</v>
      </c>
      <c r="C46" s="12">
        <v>19</v>
      </c>
      <c r="D46" s="12" t="s">
        <v>262</v>
      </c>
      <c r="E46" s="12" t="s">
        <v>17</v>
      </c>
      <c r="F46" s="12" t="s">
        <v>219</v>
      </c>
    </row>
    <row r="47" spans="2:6">
      <c r="B47" s="12" t="s">
        <v>239</v>
      </c>
      <c r="C47" s="12">
        <v>20</v>
      </c>
      <c r="D47" s="12" t="s">
        <v>1237</v>
      </c>
      <c r="E47" s="12" t="s">
        <v>18</v>
      </c>
      <c r="F47" s="12" t="s">
        <v>219</v>
      </c>
    </row>
    <row r="48" spans="2:6">
      <c r="B48" s="12" t="s">
        <v>239</v>
      </c>
      <c r="C48" s="12">
        <v>21</v>
      </c>
      <c r="D48" s="12" t="s">
        <v>263</v>
      </c>
      <c r="E48" s="12" t="s">
        <v>295</v>
      </c>
      <c r="F48" s="12" t="s">
        <v>219</v>
      </c>
    </row>
    <row r="49" spans="2:6">
      <c r="B49" s="12" t="s">
        <v>239</v>
      </c>
      <c r="C49" s="12">
        <v>22</v>
      </c>
      <c r="D49" s="12" t="s">
        <v>325</v>
      </c>
      <c r="E49" s="12" t="s">
        <v>19</v>
      </c>
      <c r="F49" s="12" t="s">
        <v>219</v>
      </c>
    </row>
    <row r="50" spans="2:6">
      <c r="B50" s="12" t="s">
        <v>239</v>
      </c>
      <c r="C50" s="12">
        <v>23</v>
      </c>
      <c r="D50" s="12" t="s">
        <v>1236</v>
      </c>
      <c r="E50" s="12" t="s">
        <v>20</v>
      </c>
      <c r="F50" s="12" t="s">
        <v>219</v>
      </c>
    </row>
    <row r="51" spans="2:6">
      <c r="B51" s="12" t="s">
        <v>239</v>
      </c>
      <c r="C51" s="12">
        <v>24</v>
      </c>
      <c r="D51" s="12" t="s">
        <v>264</v>
      </c>
      <c r="E51" s="12" t="s">
        <v>21</v>
      </c>
      <c r="F51" s="12" t="s">
        <v>219</v>
      </c>
    </row>
    <row r="52" spans="2:6">
      <c r="B52" s="12" t="s">
        <v>239</v>
      </c>
      <c r="C52" s="12">
        <v>25</v>
      </c>
      <c r="D52" s="12" t="s">
        <v>265</v>
      </c>
      <c r="E52" s="12" t="s">
        <v>22</v>
      </c>
      <c r="F52" s="12" t="s">
        <v>220</v>
      </c>
    </row>
    <row r="53" spans="2:6">
      <c r="B53" s="12" t="s">
        <v>239</v>
      </c>
      <c r="C53" s="12">
        <v>26</v>
      </c>
      <c r="D53" s="12" t="s">
        <v>266</v>
      </c>
      <c r="E53" s="12" t="s">
        <v>23</v>
      </c>
      <c r="F53" s="12" t="s">
        <v>219</v>
      </c>
    </row>
    <row r="54" spans="2:6">
      <c r="B54" s="12" t="s">
        <v>240</v>
      </c>
      <c r="C54" s="12">
        <v>27</v>
      </c>
      <c r="D54" s="12" t="s">
        <v>299</v>
      </c>
      <c r="E54" s="12" t="s">
        <v>24</v>
      </c>
      <c r="F54" s="12" t="s">
        <v>221</v>
      </c>
    </row>
    <row r="55" spans="2:6">
      <c r="B55" s="12" t="s">
        <v>240</v>
      </c>
      <c r="C55" s="12">
        <v>28</v>
      </c>
      <c r="D55" s="12" t="s">
        <v>300</v>
      </c>
      <c r="E55" s="12" t="s">
        <v>25</v>
      </c>
      <c r="F55" s="12" t="s">
        <v>221</v>
      </c>
    </row>
    <row r="56" spans="2:6">
      <c r="B56" s="12" t="s">
        <v>240</v>
      </c>
      <c r="C56" s="12">
        <v>29</v>
      </c>
      <c r="D56" s="12" t="s">
        <v>267</v>
      </c>
      <c r="E56" s="12" t="s">
        <v>705</v>
      </c>
      <c r="F56" s="12" t="s">
        <v>221</v>
      </c>
    </row>
    <row r="57" spans="2:6">
      <c r="B57" s="12" t="s">
        <v>240</v>
      </c>
      <c r="C57" s="12">
        <v>30</v>
      </c>
      <c r="D57" s="12" t="s">
        <v>268</v>
      </c>
      <c r="E57" s="12" t="s">
        <v>706</v>
      </c>
      <c r="F57" s="12" t="s">
        <v>221</v>
      </c>
    </row>
    <row r="58" spans="2:6">
      <c r="B58" s="12" t="s">
        <v>240</v>
      </c>
      <c r="C58" s="12">
        <v>31</v>
      </c>
      <c r="D58" s="12" t="s">
        <v>269</v>
      </c>
      <c r="E58" s="12" t="s">
        <v>707</v>
      </c>
      <c r="F58" s="12" t="s">
        <v>221</v>
      </c>
    </row>
    <row r="59" spans="2:6">
      <c r="B59" s="12" t="s">
        <v>241</v>
      </c>
      <c r="C59" s="12">
        <v>32</v>
      </c>
      <c r="D59" s="12" t="s">
        <v>270</v>
      </c>
      <c r="E59" s="12" t="s">
        <v>26</v>
      </c>
      <c r="F59" s="12" t="s">
        <v>222</v>
      </c>
    </row>
    <row r="60" spans="2:6">
      <c r="B60" s="12" t="s">
        <v>241</v>
      </c>
      <c r="C60" s="12">
        <v>33</v>
      </c>
      <c r="D60" s="12" t="s">
        <v>271</v>
      </c>
      <c r="E60" s="12" t="s">
        <v>27</v>
      </c>
      <c r="F60" s="12" t="s">
        <v>222</v>
      </c>
    </row>
    <row r="61" spans="2:6">
      <c r="B61" s="12" t="s">
        <v>241</v>
      </c>
      <c r="C61" s="12">
        <v>34</v>
      </c>
      <c r="D61" s="12" t="s">
        <v>1238</v>
      </c>
      <c r="E61" s="12" t="s">
        <v>28</v>
      </c>
      <c r="F61" s="12" t="s">
        <v>222</v>
      </c>
    </row>
    <row r="62" spans="2:6">
      <c r="B62" s="12" t="s">
        <v>242</v>
      </c>
      <c r="C62" s="12">
        <v>35</v>
      </c>
      <c r="D62" s="12" t="s">
        <v>272</v>
      </c>
      <c r="E62" s="12" t="s">
        <v>29</v>
      </c>
      <c r="F62" s="12" t="s">
        <v>223</v>
      </c>
    </row>
    <row r="63" spans="2:6">
      <c r="B63" s="12" t="s">
        <v>242</v>
      </c>
      <c r="C63" s="12">
        <v>36</v>
      </c>
      <c r="D63" s="12" t="s">
        <v>273</v>
      </c>
      <c r="E63" s="12" t="s">
        <v>30</v>
      </c>
      <c r="F63" s="12" t="s">
        <v>223</v>
      </c>
    </row>
    <row r="64" spans="2:6">
      <c r="B64" s="12" t="s">
        <v>242</v>
      </c>
      <c r="C64" s="12">
        <v>37</v>
      </c>
      <c r="D64" s="12" t="s">
        <v>274</v>
      </c>
      <c r="E64" s="12" t="s">
        <v>31</v>
      </c>
      <c r="F64" s="12" t="s">
        <v>223</v>
      </c>
    </row>
    <row r="65" spans="2:6">
      <c r="B65" s="12" t="s">
        <v>242</v>
      </c>
      <c r="C65" s="12">
        <v>38</v>
      </c>
      <c r="D65" s="12" t="s">
        <v>275</v>
      </c>
      <c r="E65" s="12" t="s">
        <v>32</v>
      </c>
      <c r="F65" s="12" t="s">
        <v>223</v>
      </c>
    </row>
    <row r="66" spans="2:6">
      <c r="B66" s="12" t="s">
        <v>242</v>
      </c>
      <c r="C66" s="12">
        <v>39</v>
      </c>
      <c r="D66" s="12" t="s">
        <v>276</v>
      </c>
      <c r="E66" s="12" t="s">
        <v>33</v>
      </c>
      <c r="F66" s="12" t="s">
        <v>223</v>
      </c>
    </row>
    <row r="67" spans="2:6">
      <c r="B67" s="12" t="s">
        <v>242</v>
      </c>
      <c r="C67" s="12">
        <v>40</v>
      </c>
      <c r="D67" s="12" t="s">
        <v>277</v>
      </c>
      <c r="E67" s="12" t="s">
        <v>34</v>
      </c>
      <c r="F67" s="12" t="s">
        <v>223</v>
      </c>
    </row>
    <row r="68" spans="2:6">
      <c r="B68" s="12" t="s">
        <v>242</v>
      </c>
      <c r="C68" s="12">
        <v>41</v>
      </c>
      <c r="D68" s="12" t="s">
        <v>278</v>
      </c>
      <c r="E68" s="12" t="s">
        <v>35</v>
      </c>
      <c r="F68" s="12" t="s">
        <v>223</v>
      </c>
    </row>
    <row r="69" spans="2:6">
      <c r="B69" s="12" t="s">
        <v>243</v>
      </c>
      <c r="C69" s="12">
        <v>42</v>
      </c>
      <c r="D69" s="12" t="s">
        <v>279</v>
      </c>
      <c r="E69" s="12" t="s">
        <v>36</v>
      </c>
      <c r="F69" s="12" t="s">
        <v>224</v>
      </c>
    </row>
    <row r="70" spans="2:6">
      <c r="B70" s="12" t="s">
        <v>243</v>
      </c>
      <c r="C70" s="12">
        <v>43</v>
      </c>
      <c r="D70" s="12" t="s">
        <v>280</v>
      </c>
      <c r="E70" s="12" t="s">
        <v>37</v>
      </c>
      <c r="F70" s="12" t="s">
        <v>224</v>
      </c>
    </row>
    <row r="71" spans="2:6">
      <c r="B71" s="12" t="s">
        <v>243</v>
      </c>
      <c r="C71" s="12">
        <v>44</v>
      </c>
      <c r="D71" s="12" t="s">
        <v>281</v>
      </c>
      <c r="E71" s="12" t="s">
        <v>296</v>
      </c>
      <c r="F71" s="12" t="s">
        <v>224</v>
      </c>
    </row>
    <row r="72" spans="2:6">
      <c r="B72" s="12" t="s">
        <v>243</v>
      </c>
      <c r="C72" s="12">
        <v>45</v>
      </c>
      <c r="D72" s="12" t="s">
        <v>282</v>
      </c>
      <c r="E72" s="12" t="s">
        <v>296</v>
      </c>
      <c r="F72" s="12" t="s">
        <v>224</v>
      </c>
    </row>
    <row r="73" spans="2:6">
      <c r="B73" s="12" t="s">
        <v>243</v>
      </c>
      <c r="C73" s="12">
        <v>46</v>
      </c>
      <c r="D73" s="12" t="s">
        <v>283</v>
      </c>
      <c r="E73" s="12" t="s">
        <v>296</v>
      </c>
      <c r="F73" s="12" t="s">
        <v>224</v>
      </c>
    </row>
    <row r="74" spans="2:6">
      <c r="B74" s="12" t="s">
        <v>243</v>
      </c>
      <c r="C74" s="12">
        <v>47</v>
      </c>
      <c r="D74" s="12" t="s">
        <v>284</v>
      </c>
      <c r="E74" s="12" t="s">
        <v>296</v>
      </c>
      <c r="F74" s="12" t="s">
        <v>224</v>
      </c>
    </row>
    <row r="75" spans="2:6">
      <c r="B75" s="12" t="s">
        <v>243</v>
      </c>
      <c r="C75" s="12">
        <v>48</v>
      </c>
      <c r="D75" s="12" t="s">
        <v>285</v>
      </c>
      <c r="E75" s="12" t="s">
        <v>38</v>
      </c>
      <c r="F75" s="12" t="s">
        <v>224</v>
      </c>
    </row>
    <row r="76" spans="2:6">
      <c r="B76" s="12" t="s">
        <v>243</v>
      </c>
      <c r="C76" s="12">
        <v>49</v>
      </c>
      <c r="D76" s="12" t="s">
        <v>286</v>
      </c>
      <c r="E76" s="12" t="s">
        <v>38</v>
      </c>
      <c r="F76" s="12" t="s">
        <v>224</v>
      </c>
    </row>
    <row r="77" spans="2:6">
      <c r="B77" s="12" t="s">
        <v>243</v>
      </c>
      <c r="C77" s="12">
        <v>50</v>
      </c>
      <c r="D77" s="12" t="s">
        <v>287</v>
      </c>
      <c r="E77" s="12" t="s">
        <v>297</v>
      </c>
      <c r="F77" s="12" t="s">
        <v>224</v>
      </c>
    </row>
    <row r="78" spans="2:6">
      <c r="B78" s="12" t="s">
        <v>244</v>
      </c>
      <c r="C78" s="12">
        <v>51</v>
      </c>
      <c r="D78" s="12" t="s">
        <v>288</v>
      </c>
      <c r="E78" s="12" t="s">
        <v>1</v>
      </c>
      <c r="F78" s="12" t="s">
        <v>225</v>
      </c>
    </row>
    <row r="79" spans="2:6">
      <c r="B79" s="12" t="s">
        <v>244</v>
      </c>
      <c r="C79" s="12">
        <v>52</v>
      </c>
      <c r="D79" s="12" t="s">
        <v>289</v>
      </c>
      <c r="E79" s="12" t="s">
        <v>39</v>
      </c>
      <c r="F79" s="12" t="s">
        <v>225</v>
      </c>
    </row>
    <row r="80" spans="2:6">
      <c r="B80" s="12" t="s">
        <v>244</v>
      </c>
      <c r="C80" s="12">
        <v>53</v>
      </c>
      <c r="D80" s="12" t="s">
        <v>290</v>
      </c>
      <c r="E80" s="12" t="s">
        <v>40</v>
      </c>
      <c r="F80" s="12" t="s">
        <v>225</v>
      </c>
    </row>
    <row r="81" spans="2:6">
      <c r="B81" s="12" t="s">
        <v>244</v>
      </c>
      <c r="C81" s="12">
        <v>54</v>
      </c>
      <c r="D81" s="12" t="s">
        <v>291</v>
      </c>
      <c r="E81" s="12" t="s">
        <v>41</v>
      </c>
      <c r="F81" s="12" t="s">
        <v>225</v>
      </c>
    </row>
    <row r="82" spans="2:6">
      <c r="B82" s="12" t="s">
        <v>244</v>
      </c>
      <c r="C82" s="12">
        <v>55</v>
      </c>
      <c r="D82" s="12" t="s">
        <v>292</v>
      </c>
      <c r="E82" s="12" t="s">
        <v>42</v>
      </c>
      <c r="F82" s="12" t="s">
        <v>225</v>
      </c>
    </row>
    <row r="83" spans="2:6">
      <c r="B83" s="12" t="s">
        <v>244</v>
      </c>
      <c r="C83" s="12">
        <v>56</v>
      </c>
      <c r="D83" s="12" t="s">
        <v>293</v>
      </c>
      <c r="E83" s="12" t="s">
        <v>43</v>
      </c>
      <c r="F83" s="12" t="s">
        <v>225</v>
      </c>
    </row>
    <row r="84" spans="2:6">
      <c r="B84" s="12" t="s">
        <v>244</v>
      </c>
      <c r="C84" s="12">
        <v>57</v>
      </c>
      <c r="D84" s="12" t="s">
        <v>294</v>
      </c>
      <c r="E84" s="12" t="s">
        <v>298</v>
      </c>
      <c r="F84" s="12" t="s">
        <v>225</v>
      </c>
    </row>
    <row r="85" spans="2:6">
      <c r="B85" s="12" t="s">
        <v>245</v>
      </c>
      <c r="C85" s="12">
        <v>58</v>
      </c>
      <c r="D85" s="12" t="s">
        <v>313</v>
      </c>
      <c r="E85" s="12" t="s">
        <v>44</v>
      </c>
      <c r="F85" s="12" t="s">
        <v>229</v>
      </c>
    </row>
    <row r="86" spans="2:6">
      <c r="B86" s="12" t="s">
        <v>245</v>
      </c>
      <c r="C86" s="12">
        <v>59</v>
      </c>
      <c r="D86" s="12" t="s">
        <v>301</v>
      </c>
      <c r="E86" s="12" t="s">
        <v>306</v>
      </c>
      <c r="F86" s="12" t="s">
        <v>229</v>
      </c>
    </row>
    <row r="87" spans="2:6">
      <c r="B87" s="12" t="s">
        <v>245</v>
      </c>
      <c r="C87" s="12">
        <v>60</v>
      </c>
      <c r="D87" s="12" t="s">
        <v>304</v>
      </c>
      <c r="E87" s="12" t="s">
        <v>307</v>
      </c>
      <c r="F87" s="12" t="s">
        <v>229</v>
      </c>
    </row>
    <row r="88" spans="2:6">
      <c r="B88" s="12" t="s">
        <v>245</v>
      </c>
      <c r="C88" s="12">
        <v>61</v>
      </c>
      <c r="D88" s="12" t="s">
        <v>305</v>
      </c>
      <c r="E88" s="12" t="s">
        <v>308</v>
      </c>
      <c r="F88" s="12" t="s">
        <v>229</v>
      </c>
    </row>
    <row r="89" spans="2:6">
      <c r="B89" s="12" t="s">
        <v>245</v>
      </c>
      <c r="C89" s="12">
        <v>62</v>
      </c>
      <c r="D89" s="12" t="s">
        <v>314</v>
      </c>
      <c r="E89" s="12" t="s">
        <v>309</v>
      </c>
      <c r="F89" s="12" t="s">
        <v>229</v>
      </c>
    </row>
    <row r="90" spans="2:6">
      <c r="B90" s="12" t="s">
        <v>245</v>
      </c>
      <c r="C90" s="12">
        <v>63</v>
      </c>
      <c r="D90" s="12" t="s">
        <v>315</v>
      </c>
      <c r="E90" s="12" t="s">
        <v>310</v>
      </c>
      <c r="F90" s="12" t="s">
        <v>229</v>
      </c>
    </row>
    <row r="91" spans="2:6">
      <c r="B91" s="12" t="s">
        <v>245</v>
      </c>
      <c r="C91" s="12">
        <v>64</v>
      </c>
      <c r="D91" s="12" t="s">
        <v>316</v>
      </c>
      <c r="E91" s="12" t="s">
        <v>311</v>
      </c>
      <c r="F91" s="12" t="s">
        <v>229</v>
      </c>
    </row>
    <row r="92" spans="2:6">
      <c r="B92" s="12" t="s">
        <v>246</v>
      </c>
      <c r="C92" s="12">
        <v>65</v>
      </c>
      <c r="D92" s="12" t="s">
        <v>317</v>
      </c>
      <c r="E92" s="12" t="s">
        <v>45</v>
      </c>
      <c r="F92" s="12" t="s">
        <v>230</v>
      </c>
    </row>
    <row r="93" spans="2:6">
      <c r="B93" s="12" t="s">
        <v>246</v>
      </c>
      <c r="C93" s="12">
        <v>66</v>
      </c>
      <c r="D93" s="12" t="s">
        <v>318</v>
      </c>
      <c r="E93" s="12" t="s">
        <v>312</v>
      </c>
      <c r="F93" s="12" t="s">
        <v>231</v>
      </c>
    </row>
    <row r="94" spans="2:6">
      <c r="B94" s="12" t="s">
        <v>247</v>
      </c>
      <c r="C94" s="12">
        <v>67</v>
      </c>
      <c r="D94" s="12" t="s">
        <v>319</v>
      </c>
      <c r="E94" s="12" t="s">
        <v>46</v>
      </c>
      <c r="F94" s="12" t="s">
        <v>232</v>
      </c>
    </row>
    <row r="95" spans="2:6">
      <c r="B95" s="12" t="s">
        <v>247</v>
      </c>
      <c r="C95" s="12">
        <v>68</v>
      </c>
      <c r="D95" s="12" t="s">
        <v>320</v>
      </c>
      <c r="E95" s="12" t="s">
        <v>47</v>
      </c>
      <c r="F95" s="12" t="s">
        <v>232</v>
      </c>
    </row>
    <row r="96" spans="2:6">
      <c r="B96" s="12" t="s">
        <v>247</v>
      </c>
      <c r="C96" s="12">
        <v>69</v>
      </c>
      <c r="D96" s="12" t="s">
        <v>321</v>
      </c>
      <c r="E96" s="12" t="s">
        <v>48</v>
      </c>
      <c r="F96" s="12" t="s">
        <v>232</v>
      </c>
    </row>
    <row r="97" spans="2:6">
      <c r="B97" s="12" t="s">
        <v>247</v>
      </c>
      <c r="C97" s="12">
        <v>70</v>
      </c>
      <c r="D97" s="12" t="s">
        <v>322</v>
      </c>
      <c r="E97" s="12" t="s">
        <v>49</v>
      </c>
      <c r="F97" s="12" t="s">
        <v>232</v>
      </c>
    </row>
    <row r="98" spans="2:6">
      <c r="B98" s="12" t="s">
        <v>248</v>
      </c>
      <c r="C98" s="12">
        <v>71</v>
      </c>
      <c r="D98" s="12" t="s">
        <v>323</v>
      </c>
      <c r="E98" s="12" t="s">
        <v>50</v>
      </c>
      <c r="F98" s="12" t="s">
        <v>232</v>
      </c>
    </row>
  </sheetData>
  <mergeCells count="10">
    <mergeCell ref="B21:F21"/>
    <mergeCell ref="B22:F22"/>
    <mergeCell ref="B24:F24"/>
    <mergeCell ref="B25:F25"/>
    <mergeCell ref="B12:F12"/>
    <mergeCell ref="B13:F13"/>
    <mergeCell ref="B16:F16"/>
    <mergeCell ref="B15:F15"/>
    <mergeCell ref="B18:F18"/>
    <mergeCell ref="B19:F19"/>
  </mergeCells>
  <hyperlinks>
    <hyperlink ref="D28" location="_1" display="2021 Sustainability scorecard" xr:uid="{17B032CE-5906-47F6-9E0C-F07CE59D8D18}"/>
    <hyperlink ref="B28" location="Overview!A1" display="Overview" xr:uid="{9257D65D-E4CD-483D-9A28-44E9DC6E00D3}"/>
    <hyperlink ref="B34" location="'CorpGov &amp; Business Ethics'!A1" display="Corporate Governance and Business Ethics" xr:uid="{3BB0EC03-554B-40BE-A256-4976831BB183}"/>
    <hyperlink ref="B39" location="'Resp. Procurement'!A1" display="Responsible Procurement" xr:uid="{6341B1EC-473C-4B9D-86CA-2FDA1662B99F}"/>
    <hyperlink ref="B40" location="'Security Practices'!A1" display="Security Practices" xr:uid="{83B5592E-A206-4497-9135-3CB0C1073DF1}"/>
    <hyperlink ref="B41" location="'Environmental Mgmt'!A1" display="Environmental Management" xr:uid="{E647EC78-C2B6-4B9C-AF74-51AD62DF9588}"/>
    <hyperlink ref="B42" location="'Water &amp; Effluents'!A1" display="Water and Effluents" xr:uid="{C80E218B-8A85-4585-AAD6-C2B9CFAE3A1E}"/>
    <hyperlink ref="B46" location="'Waste &amp; Materials'!A1" display="Waste and Materials" xr:uid="{65EDD206-C843-4FE5-8119-BF6C8B112C7D}"/>
    <hyperlink ref="B54" location="Biodiversity!A1" display="Biodiversity" xr:uid="{51F7D6DB-5EF6-4288-9050-26A23EA4DE4A}"/>
    <hyperlink ref="B59" location="'Climate Change'!A1" display="Climate Change" xr:uid="{CDBBD546-E309-4C98-982A-E97C12EA6FE9}"/>
    <hyperlink ref="B62" location="'Labour Rights'!A1" display="Labour Rights" xr:uid="{44AA1B84-BA07-4065-99D7-FF3A0035827A}"/>
    <hyperlink ref="B69" location="'Health &amp; Safety'!A1" display="Health and Safety" xr:uid="{7C84F6EF-4DB4-4266-A4CE-E0F687CFA4E3}"/>
    <hyperlink ref="B78" location="'Communities &amp; IPs'!A1" display="Rights of Communties and Indigenous Peoples" xr:uid="{60532A9F-39DD-47EC-B434-3391AF7C9105}"/>
    <hyperlink ref="B85" location="Resettlement!A1" display="Land Acquisition and Resettlement" xr:uid="{32B49A26-6782-4FF8-8AD0-8D01C7B28EC5}"/>
    <hyperlink ref="B92" location="ASM!A1" display="Artisanal and Small-scale Mining" xr:uid="{76810389-A030-47E1-BC86-0646FC12295E}"/>
    <hyperlink ref="B94" location="'Socio-econ. Contributions'!A1" display="Socio-Economic Contributions" xr:uid="{19BDEEE4-DA84-49B0-AC4A-BF339FFB7E35}"/>
    <hyperlink ref="D29" location="_2._Entities_included_in_the_organization_s_sustainability_reporting" display="Entities included in the organization's sustainability reporting" xr:uid="{67C41B31-8FBE-405E-A37D-AAA94A431063}"/>
    <hyperlink ref="D30" location="_3._2021_Data" display="2021 Data" xr:uid="{E977329D-020D-46FC-9CD2-6F1330D5C68C}"/>
    <hyperlink ref="D31" location="_4._Memberships_and_associations" display="Memberships and associations" xr:uid="{DC62287E-5526-497B-B87B-9F699F2173EF}"/>
    <hyperlink ref="D32" location="_5._Approach_to_stakeholder_engagement" display="Approach to stakeholder engagement" xr:uid="{D9928DA2-8379-48EE-80EB-E47C6732CF57}"/>
    <hyperlink ref="D33" location="_6._List_of_material_topics" display="List of material topics" xr:uid="{4276D1CD-4FE0-47EC-B577-C90A3521F754}"/>
    <hyperlink ref="D34" location="_7._Governance_structure_and_composition__diversity_of_governance_bodies" display="Governance structure and composition, diversity of governance bodies" xr:uid="{40AAC270-C53D-448B-A47C-2A91A204EA97}"/>
    <hyperlink ref="D35" location="_8._Mechanisms_for_seeking_advise_and_raising_concerns" display="Mechanisms for seeking advise and raising concerns" xr:uid="{458FBEFB-26CA-469F-A86F-856AE2FDA61E}"/>
    <hyperlink ref="D36" location="_9._Operations_assessed_for_risk_related_to_corruption" display="Operations assessed for risk related to corruption" xr:uid="{D3A5C38A-E7AD-48E1-B522-68B867D57A84}"/>
    <hyperlink ref="D37" location="_10._Communications_and_training_on_anti_corruption_policies_and_procedures" display="Communications and training on anti-corruption policies and procedures" xr:uid="{FE23A95C-A5EE-407C-8B84-E263A199E6D3}"/>
    <hyperlink ref="D38" location="_11._Confirmed_incidents_of_corruption_and_actions_taken" display="Confirmed incidents of corruption and actions taken" xr:uid="{23B5A485-DD9A-4347-B98E-B003A46F55F6}"/>
    <hyperlink ref="D39" location="_12._New_suppliers_that_were_screened_using_environmental___social_criteria" display="New suppliers that were screened using environmental and social criteria" xr:uid="{CBA91631-E1C7-4356-ADF7-A0E95DE06334}"/>
    <hyperlink ref="D40" location="_13._Security_personnel_trained_in_human_rights_policies_or_procedures" display="Security personnel trained in human rights policies or procedures" xr:uid="{9A624B65-D8BB-4D18-A2A9-76CAC1751C7D}"/>
    <hyperlink ref="D41" location="_14._Description_of_environmental_management_policies_and_practices__EMPs__for_active_sites" display="Description of environmental management policies and practices (EMPs) for active sites" xr:uid="{33F90B98-E213-4CBA-9F37-2D5AEBAF5414}"/>
    <hyperlink ref="D42" location="_15._Potential_risks_to_water_sources" display="Potential risks to water sources" xr:uid="{9F0059CE-9FBE-4D8A-84D7-BD19AC5F2529}"/>
    <hyperlink ref="D43" location="_16._Water_withdrawal_by_source__ML" display="Water withdrawal by source (ML)" xr:uid="{A27A85D8-A133-4709-86C8-050F2840C541}"/>
    <hyperlink ref="D44" location="_17._Water_discharge__ML" display="Water discharge (ML)" xr:uid="{E706109A-AA44-4EAA-8F5D-8C650E353446}"/>
    <hyperlink ref="D45" location="_18._Water_consumption__ML" display="Water consumption (ML) " xr:uid="{9D29D1DC-D10E-4CB7-8216-25C26687B7B8}"/>
    <hyperlink ref="D46" location="_19._Cyanide_Intensity" display="Cyanide intensity" xr:uid="{A757E37F-8D4F-4D85-BCCA-10BC693E1EC3}"/>
    <hyperlink ref="D47" location="_20._Total_amounts_of_overburden__rock__tailings__and_sludges_and_their_associated_risks" display="Total amount of overburden, rock, tailings, and sludges and their associated risks" xr:uid="{3F3AFDCB-CCC6-43AB-94CC-0FCF35CFFD68}"/>
    <hyperlink ref="D48" location="_21._Waste_generated" display="Waste generated" xr:uid="{F5377D6C-78AD-4C8E-8E55-DDC7EAC97534}"/>
    <hyperlink ref="D49" location="_22._Waste_diverted_from_disposal" display="Waste diverted from disposal" xr:uid="{0FBB9527-392F-4E44-85A3-86034F60F410}"/>
    <hyperlink ref="D50" location="_23._Waste_directed_to_disposal" display="Waste directed to disposal" xr:uid="{79001B13-DE7C-40A6-A20B-8EA5B16169C1}"/>
    <hyperlink ref="D51" location="_24._Total_weight_of_non_mineral_waste_generated__in_metric_tons__T" display="Total weight of non-mineral waste generated (T)" xr:uid="{884C9CDB-07BA-4645-B0C9-E67B124F1225}"/>
    <hyperlink ref="D52" location="_25._Tailings_storage_facility_inventory_table" display="Tailings storage facility inventory table" xr:uid="{2EC270B6-C1C0-46AF-9AFF-85BB4E1DC722}"/>
    <hyperlink ref="D53" location="_26._Number_of_tailings_impoundments__broken_down_by_MSHA_hazard_potential" display="Number of tailings impoundments, broken down by MSHA hazard potential" xr:uid="{9CCACC36-193E-4366-91A3-3D932A06AFE6}"/>
    <hyperlink ref="D54" location="_27._Significant_impacts_of_activities__products_and_services_on_biodiversity" display="Significant impacts of activities, products and services on biodiversity" xr:uid="{AF9F6DCF-0C1D-41E3-AC14-28BDEE53FFDE}"/>
    <hyperlink ref="D55" location="_28._Habitats_protected_or_restored" display="Habitats protected or restored" xr:uid="{531A077D-DC89-4FD9-BCA2-E79E694E9025}"/>
    <hyperlink ref="D56" location="_29._Amount_of_land_owned_or_leased__and_managed_for_production_activities_or_extractive_use__disturbed_or_rehabilitated" display="Amount of land owned or leased, and managed for production activities or extractive use, disturbed or rehabilitated" xr:uid="{4C21A81A-87BC-4990-AC0E-FE07ACA368B1}"/>
    <hyperlink ref="D57" location="_30._Number_and_percentage_of_total_sites_identified_as_requiring_biodiversity_management_plans_according_to_stated_criteria__and_number__and_percentage__of_those_sites_with_plans_in_place" display="Number and percentage of total sites identified as requiring biodiversity management plans according to stated criteria, and number (and percentage) of those sites with plans in place" xr:uid="{CC52154A-F190-4F3E-A3FA-7CE0A4C377F9}"/>
    <hyperlink ref="D58" location="_31._Number_and_percentage_of_operations_with_closure_plans" display="Number and percentage of operations with closure plans" xr:uid="{F7D39DB6-7CCA-4940-AB53-54EC11810720}"/>
    <hyperlink ref="D59" location="_32._Energy_consumption_within_the_organization" display="Energy consumption within the organization" xr:uid="{07D8FEB4-65F7-4728-97D6-F8B5D08AAFF8}"/>
    <hyperlink ref="D60" location="_33._Energy_intensity" display="Energy intensity" xr:uid="{79EC740E-6D4D-4FC9-88F8-E7CF7BF8A621}"/>
    <hyperlink ref="D61" location="_34._GHG_emissions_intensity__Scopes_1_2____metric_tons_Coe_per_tonne_of_ore_processed" display="GHG emissions intensity (Scopes 1&amp;2) - metric tons Coe per tonne of ore processed" xr:uid="{D568E915-F273-4B23-9EED-147C50D2A2EA}"/>
    <hyperlink ref="D62" location="_35._Employees" display="Employees" xr:uid="{02656375-BA2A-4DC9-9C1B-90CEE17C9EE0}"/>
    <hyperlink ref="D63" location="_36._Workers_who_are_not_employees__Contractors_workforce" display="Workers who are not employees (contractors)" xr:uid="{616E7C5E-38B2-4307-BA81-94CA2FF7CD5C}"/>
    <hyperlink ref="D64" location="_37._New_employee_hires_and_employee_turnover" display="New employee hires and employee turnover" xr:uid="{9C24241E-930F-4ACD-952F-5F1FA77FF67C}"/>
    <hyperlink ref="D65" location="_38._Average_hours_of_training_per_year_per_employee_by_gender" display="Average hours of training per year per employee by gender" xr:uid="{18FCF726-2487-4E90-9D6E-205AD7B92F10}"/>
    <hyperlink ref="D66" location="_39._Percentage_of_employees_per_employee_category_in_diversity_categories" display="Percentage of employees per employee category in diversity categories" xr:uid="{D4B6F7EE-F3B7-4E46-ABDA-3ED8DB73FA7B}"/>
    <hyperlink ref="D67" location="_40._Ratio_of_basic_salary_and_remuneration_of_women_to_men" display="Ratio of basic salary and remuneration of women to men" xr:uid="{AA4E440E-F0E1-4480-9BC4-55E69E40AD78}"/>
    <hyperlink ref="D68" location="_41._Collective_bargaining_agreements" display="Collective bargaining agreements" xr:uid="{122FA582-EE65-4770-BB61-1BE8632CE5D7}"/>
    <hyperlink ref="D69" location="_42._Worker_training_on_occupational_health_and_safety" display="Worker training on occupational health and safety" xr:uid="{02F872D8-264F-4368-94C3-608CD195DF9A}"/>
    <hyperlink ref="D70" location="_43._Workers_covered_by_an_occupational_health_and_safety_management_system" display="Workers covered by an occupational health and safety management system" xr:uid="{27DEFAF0-691A-49D5-9317-D104D3801082}"/>
    <hyperlink ref="D71" location="_44._Employee_data_on_work_related_injuries" display="Employee data on work-related injuries" xr:uid="{E2FFA7C7-58EB-4C75-9D72-80F462C40C4B}"/>
    <hyperlink ref="D72" location="_45._Contractor_data_on_work_related_injuries" display="Contractor data on work-related injuries" xr:uid="{29417119-18A4-4C20-9EC9-027E10B2D7D5}"/>
    <hyperlink ref="D73" location="_46._Recordable_work_related_injury_by_type_of_incident" display="Recordable work-related injuries by type of incident" xr:uid="{9B761015-E887-4AC6-BA68-86AA6C288BFA}"/>
    <hyperlink ref="D74" location="_47._Other_relevant_data" display="Other relevant data" xr:uid="{8A2096A7-43B3-4642-AC62-096F3656BD2D}"/>
    <hyperlink ref="D75" location="_48._Employee_data_on_work_related_ill_health" display="Employee data on work-related ill-health" xr:uid="{8ABB9E76-6B30-4BB0-A03B-E46F9E838EDE}"/>
    <hyperlink ref="D76" location="_49._Contractor_data_on_work_related_ill_health" display="Contractor data on work-related ill-health" xr:uid="{604E63BC-EB30-4D15-9C84-E838FFF55FB8}"/>
    <hyperlink ref="D77" location="_50._Death_rate_due_to_road_traffic_injuries" display="Death rate due to road traffic injuries" xr:uid="{C4778F2D-B31E-49F3-9993-D2FABB3AE8BE}"/>
    <hyperlink ref="D78" location="_51._Public_consultations_held" display="Public consultations held" xr:uid="{A0EACDBA-2F1F-42BE-8AD1-E18878325FE7}"/>
    <hyperlink ref="D79" location="_52._Operations_with_local_community_engagement__impact_assessments__and_development_programs" display="Operations with local community engagement, impact assessments, and development programs" xr:uid="{53F2C368-53E8-4A18-B590-37F93E3C4A3F}"/>
    <hyperlink ref="D80" location="_53._Operations_with_significant_actual_and_potential_negative_impacts_on_local_communities" display="Operations with significant actual and potential negative impacts on local communities" xr:uid="{CBF6BDAF-F424-49D4-BF9A-412142BA67AB}"/>
    <hyperlink ref="D81" location="_54._Total_number_of_operations_taking_place_in_or_adjacent_to_Indigenous_Peoples__territories__and_number_and_percentage_of_operations_or_sites_where_there_are_formal_agreements_with_Indigenous_Peoples__communities" display="Total number of operations taking place in or adjacent to Indigenous Peoples' territories, and number and percentage of operations or sites where there are formal agreements with Indigenous Peoples' communities" xr:uid="{B026A1B5-A7A1-4A98-AE3F-A2FA1A1C3092}"/>
    <hyperlink ref="D82" location="_55._Number_and_description_of_significant_disputes_1__relating_to_land_use__customary_rights_of_local_communities_and_Indigenous_Peoples" display="Number and description of significant disputes relating to land use, customary rights of local communities and Indigenous Peoples" xr:uid="{F37B0848-68A4-49C3-9386-2B3A37E87B6A}"/>
    <hyperlink ref="D83" location="_56._Extent_to_which_grievance_mechanisms_were_used_to_resolve_disputes_relating_to_land_use__customary_rights_of_local_communities_and_Indigenous_Peoples__and_the_outcomes" display="Extent to which grievance mechanisms were used to resolve disputes relating to land use, customary rights of local communities and Indigenous Peoples, and the outcomes" xr:uid="{D96B24D7-9786-4829-919A-54C927EB00A7}"/>
    <hyperlink ref="D84" location="_57._Proportion_of_population_who_have_experienced_a_dispute_in_the_past_two_years_and_who_accessed_a_formal_or_informal_dispute_resolution_mechanism__by_type_of_mechanism" display="Proportion of population who have experienced a dispute in the past two years and who accessed a formal or informal dispute resolution mechanism, by type of mechanism" xr:uid="{6BC175A9-5B27-4D58-81D0-664CF1ACDEE6}"/>
    <hyperlink ref="D85" location="_58._Sites_where_resettlement_took_place__the_number_of_household_resettled_in_each__and_how_their_livelihoods_were_affected_in_the_process" display="Sites  where resettlement took place, the number of household resettled in each, and how their livelihoods were affected in the process" xr:uid="{61953074-EBC5-4956-8A44-E59F066B4B11}"/>
    <hyperlink ref="D86" location="_59._Proportion_of_population_living_in_households_with_access_to_basic_services" display="Proportion of population living in households with access to basic services" xr:uid="{B99A80EF-2DA5-405C-A5D3-E27BD68D6AAD}"/>
    <hyperlink ref="D87" location="_60._Proportion_of_total_adult_population_with_secure_tenure_rights_to_land__with_legally_recognized_documentation_and_who_perceive_their_rights_to_land_as_secure__by_sex_and_by_type_of_tenure" display="Proportion of total adult population with secure tenure rights to land, with legally recognized documentation and who perceive their rights to land as secure, by sex and by type of tenure" xr:uid="{03012E17-4501-44EC-91B4-0BAF9F9E2705}"/>
    <hyperlink ref="D88" location="_61._Proportion_of_urban_population_living_in_slums__informal_settlements_or_inadequate_housing" display="Proportion of urban population living in slums, informal settlements or inadequate housing" xr:uid="{F0D8069D-BE89-4EA4-BA00-776794355184}"/>
    <hyperlink ref="D89" location="_62._Proportion_of_urban_population_using_safely_managed_drinking_water_services" display="Proportion of urban population using safely managed drinking water services" xr:uid="{C0573D1A-9A81-43ED-9B69-8F32A543D191}"/>
    <hyperlink ref="D90" location="_63._Proportion_of_population_using_safely_managed_sanitation_services" display="Proportion of population using safely managed sanitation services" xr:uid="{26B20618-F292-44C3-A24B-64656AAB1798}"/>
    <hyperlink ref="D91" location="_64._Proportion_of_population_who_believe_decision_making_is_inclusive_and_responsive" display="Proportion of population who believe decision-making is inclusive and responsive" xr:uid="{9FA7D4E7-D3E9-4BB9-BEC5-ABB939646B76}"/>
    <hyperlink ref="D92" location="_65._Number__and_percentage__of_company_operating_sites_where_ASM_takes_place_on__or_adjacent_to__the_site__the_associated_risks_and_the_actions_taken_to_manage_and_mitigate_these_risks" display="Number (and percentage) of company operating sites where ASM takes place on, or adjacent to, the site; the associated risks and the actions taken to manage and mitigate these risks" xr:uid="{3BB33A48-C0F4-46EC-AE24-530953EAED06}"/>
    <hyperlink ref="D93" location="_66._Proportion_of_bodies_of_water_with_good_ambient_water_quality" display="Proportion of bodies of water with good ambient water quality" xr:uid="{083CFEAC-98DD-47B7-9DEA-F91BA8CBC382}"/>
    <hyperlink ref="D94" location="_67._Direct_economic_value_generated_and_distributed___Million_USD" display="Direct economic value generated and distributed" xr:uid="{544175DA-0555-4F14-B866-893895656E70}"/>
    <hyperlink ref="D95" location="_68._Ratios_of_standard_entry_level_wage_by_gender_compared_to_local_minimum_wage" display="Ratios of standard entry level wage by gender compared to local minimum wage" xr:uid="{9FA71374-A793-4BBF-8F45-A0B1E66CE55A}"/>
    <hyperlink ref="D96" location="_69._Infrastructure_investments_and_services_supported" display="Infrastructure investments and services supported" xr:uid="{92A6B81E-2919-4A47-9023-B9CCD992AA94}"/>
    <hyperlink ref="D97" location="Table_70._Significant_indirect_economic_impacts" display="Significant indirect economic impacts " xr:uid="{8B1DA1D5-E13B-4E13-98FB-BD5E4ECB0EE1}"/>
    <hyperlink ref="D98" location="Table_71._Proportion_of_spending_on_local_suppliers" display="Proportion of spending on local suppliers" xr:uid="{F69E2AB1-83E9-4A53-8441-24030484973E}"/>
    <hyperlink ref="B29:B33" location="Overview!A1" display="Overview" xr:uid="{0CABEB17-A3FC-4750-A50C-5126BF9FCD6E}"/>
    <hyperlink ref="B35:B38" location="'CorpGov &amp; Business Ethics'!A1" display="Corporate Governance and Business Ethics" xr:uid="{72A45BDF-2AB0-4476-82B2-9ECECF58E840}"/>
    <hyperlink ref="B43:B45" location="'Water &amp; Effluents'!A1" display="Water and Effluents" xr:uid="{8836A0E3-706E-45A5-B9AC-6C1BB18E1EA2}"/>
    <hyperlink ref="B47:B53" location="'Waste &amp; Materials'!A1" display="Waste and Materials" xr:uid="{4CB0A55C-0BF8-4B7E-91C3-13A8FC675F4F}"/>
    <hyperlink ref="B55:B58" location="Biodiversity!A1" display="Biodiversity" xr:uid="{476AECF3-004C-4CB7-9F1E-F284E1EFAA02}"/>
    <hyperlink ref="B60:B61" location="'Climate Change'!A1" display="Climate Change" xr:uid="{CDFE5E33-A031-44F6-BBBA-4788971E2411}"/>
    <hyperlink ref="B63:B68" location="'Labour Rights'!A1" display="Labour Rights" xr:uid="{070E2AB9-BADA-4BE9-9699-457F4519D879}"/>
    <hyperlink ref="B70:B77" location="'Health &amp; Safety'!A1" display="Health and Safety" xr:uid="{1395BFC8-F1E8-491A-B0CC-3E45C4342720}"/>
    <hyperlink ref="B79:B84" location="'Communities &amp; IPs'!A1" display="Rights of Communties and Indigenous Peoples" xr:uid="{8FA5CA55-AC7A-4D4B-8E81-46F7DF5B0FF5}"/>
    <hyperlink ref="B86:B91" location="Resettlement!A1" display="Land Acquisition and Resettlement" xr:uid="{0807E182-2620-4E2F-86E2-09949C7F0EC3}"/>
    <hyperlink ref="B93" location="ASM!A1" display="Artisanal and Small-scale Mining" xr:uid="{D1F43019-0C2C-4DFE-9EB7-CFE684C84890}"/>
    <hyperlink ref="B95:B98" location="'Socio-econ. Contributions'!A1" display="Socio-Economic Contributions" xr:uid="{C818BB59-B1AE-423E-A593-7F72CBE67B04}"/>
  </hyperlinks>
  <pageMargins left="0.7" right="0.7" top="0.75" bottom="0.75" header="0.3" footer="0.3"/>
  <pageSetup scale="34"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353A-619E-4CE9-8F4D-FD6CAD8AE215}">
  <dimension ref="A1:L152"/>
  <sheetViews>
    <sheetView showGridLines="0" topLeftCell="A133" zoomScale="90" zoomScaleNormal="90" workbookViewId="0">
      <selection activeCell="E96" sqref="E96"/>
    </sheetView>
  </sheetViews>
  <sheetFormatPr defaultColWidth="11.42578125" defaultRowHeight="14.25"/>
  <cols>
    <col min="1" max="1" width="31.42578125" style="169" customWidth="1"/>
    <col min="2" max="2" width="47.42578125" style="169" customWidth="1"/>
    <col min="3" max="3" width="32.140625" style="169" customWidth="1"/>
    <col min="4" max="4" width="39" style="169" customWidth="1"/>
    <col min="5" max="5" width="32.85546875" style="169" bestFit="1" customWidth="1"/>
    <col min="6" max="6" width="27" style="169" customWidth="1"/>
    <col min="7" max="8" width="11.42578125" style="169"/>
    <col min="9" max="9" width="21.85546875" style="169" customWidth="1"/>
    <col min="10" max="10" width="17.42578125" style="169" bestFit="1" customWidth="1"/>
    <col min="11" max="11" width="15.140625" style="169" bestFit="1" customWidth="1"/>
    <col min="12" max="12" width="25.85546875" style="169" bestFit="1" customWidth="1"/>
    <col min="13" max="16384" width="11.42578125" style="169"/>
  </cols>
  <sheetData>
    <row r="1" spans="1:12" s="167" customFormat="1" ht="30" customHeight="1" thickBot="1">
      <c r="A1" s="413" t="s">
        <v>856</v>
      </c>
      <c r="B1" s="414"/>
      <c r="C1" s="414"/>
      <c r="D1" s="414"/>
      <c r="E1" s="414"/>
      <c r="F1" s="414"/>
      <c r="G1" s="414"/>
      <c r="H1" s="414"/>
      <c r="I1" s="414"/>
      <c r="J1" s="414"/>
      <c r="K1" s="414"/>
      <c r="L1" s="414"/>
    </row>
    <row r="2" spans="1:12" ht="15">
      <c r="A2" s="168" t="s">
        <v>126</v>
      </c>
    </row>
    <row r="4" spans="1:12">
      <c r="A4" s="415" t="s">
        <v>857</v>
      </c>
      <c r="B4" s="415"/>
      <c r="C4" s="415"/>
      <c r="D4" s="416"/>
      <c r="E4" s="416"/>
      <c r="F4" s="416"/>
      <c r="G4" s="416"/>
    </row>
    <row r="5" spans="1:12" s="170" customFormat="1">
      <c r="A5" s="220" t="s">
        <v>858</v>
      </c>
      <c r="B5" s="220" t="s">
        <v>859</v>
      </c>
      <c r="C5" s="417" t="s">
        <v>860</v>
      </c>
      <c r="D5" s="417"/>
      <c r="E5" s="417" t="s">
        <v>861</v>
      </c>
      <c r="F5" s="417"/>
      <c r="G5" s="417" t="s">
        <v>77</v>
      </c>
      <c r="H5" s="417"/>
    </row>
    <row r="6" spans="1:12">
      <c r="A6" s="418" t="s">
        <v>862</v>
      </c>
      <c r="B6" s="418"/>
      <c r="C6" s="418"/>
      <c r="D6" s="418"/>
      <c r="E6" s="418"/>
      <c r="F6" s="418"/>
      <c r="G6" s="418"/>
      <c r="H6" s="418"/>
    </row>
    <row r="7" spans="1:12" s="173" customFormat="1">
      <c r="A7" s="171">
        <v>181</v>
      </c>
      <c r="B7" s="171">
        <v>1012</v>
      </c>
      <c r="C7" s="411">
        <v>0</v>
      </c>
      <c r="D7" s="411"/>
      <c r="E7" s="411">
        <v>0</v>
      </c>
      <c r="F7" s="411"/>
      <c r="G7" s="412">
        <v>1193</v>
      </c>
      <c r="H7" s="412"/>
      <c r="I7" s="172"/>
    </row>
    <row r="8" spans="1:12">
      <c r="A8" s="418" t="s">
        <v>863</v>
      </c>
      <c r="B8" s="418"/>
      <c r="C8" s="418"/>
      <c r="D8" s="418"/>
      <c r="E8" s="418"/>
      <c r="F8" s="418"/>
      <c r="G8" s="418"/>
      <c r="H8" s="418"/>
    </row>
    <row r="9" spans="1:12" s="173" customFormat="1">
      <c r="A9" s="171">
        <v>172</v>
      </c>
      <c r="B9" s="171">
        <v>973</v>
      </c>
      <c r="C9" s="411">
        <v>0</v>
      </c>
      <c r="D9" s="411"/>
      <c r="E9" s="411">
        <v>0</v>
      </c>
      <c r="F9" s="411"/>
      <c r="G9" s="412">
        <v>1145</v>
      </c>
      <c r="H9" s="412"/>
    </row>
    <row r="10" spans="1:12">
      <c r="A10" s="418" t="s">
        <v>864</v>
      </c>
      <c r="B10" s="418"/>
      <c r="C10" s="418"/>
      <c r="D10" s="418"/>
      <c r="E10" s="418"/>
      <c r="F10" s="418"/>
      <c r="G10" s="418"/>
      <c r="H10" s="418"/>
    </row>
    <row r="11" spans="1:12" s="173" customFormat="1">
      <c r="A11" s="171">
        <f>A7-A9</f>
        <v>9</v>
      </c>
      <c r="B11" s="171">
        <f t="shared" ref="B11:G11" si="0">B7-B9</f>
        <v>39</v>
      </c>
      <c r="C11" s="431">
        <f t="shared" si="0"/>
        <v>0</v>
      </c>
      <c r="D11" s="432"/>
      <c r="E11" s="431">
        <f t="shared" si="0"/>
        <v>0</v>
      </c>
      <c r="F11" s="432"/>
      <c r="G11" s="433">
        <f t="shared" si="0"/>
        <v>48</v>
      </c>
      <c r="H11" s="434"/>
    </row>
    <row r="12" spans="1:12">
      <c r="A12" s="418" t="s">
        <v>865</v>
      </c>
      <c r="B12" s="418"/>
      <c r="C12" s="418"/>
      <c r="D12" s="418"/>
      <c r="E12" s="418"/>
      <c r="F12" s="418"/>
      <c r="G12" s="418"/>
      <c r="H12" s="418"/>
    </row>
    <row r="13" spans="1:12" s="173" customFormat="1">
      <c r="A13" s="171">
        <v>0</v>
      </c>
      <c r="B13" s="171">
        <v>0</v>
      </c>
      <c r="C13" s="411">
        <v>0</v>
      </c>
      <c r="D13" s="411"/>
      <c r="E13" s="411">
        <v>0</v>
      </c>
      <c r="F13" s="411"/>
      <c r="G13" s="412">
        <v>0</v>
      </c>
      <c r="H13" s="412"/>
    </row>
    <row r="14" spans="1:12">
      <c r="A14" s="418" t="s">
        <v>866</v>
      </c>
      <c r="B14" s="418"/>
      <c r="C14" s="418"/>
      <c r="D14" s="418"/>
      <c r="E14" s="418"/>
      <c r="F14" s="418"/>
      <c r="G14" s="418"/>
      <c r="H14" s="418"/>
    </row>
    <row r="15" spans="1:12" s="173" customFormat="1">
      <c r="A15" s="171">
        <v>181</v>
      </c>
      <c r="B15" s="171">
        <v>1012</v>
      </c>
      <c r="C15" s="411">
        <v>0</v>
      </c>
      <c r="D15" s="411"/>
      <c r="E15" s="411">
        <v>0</v>
      </c>
      <c r="F15" s="411"/>
      <c r="G15" s="412">
        <v>1193</v>
      </c>
      <c r="H15" s="412"/>
    </row>
    <row r="16" spans="1:12">
      <c r="A16" s="418" t="s">
        <v>867</v>
      </c>
      <c r="B16" s="418"/>
      <c r="C16" s="418"/>
      <c r="D16" s="418"/>
      <c r="E16" s="418"/>
      <c r="F16" s="418"/>
      <c r="G16" s="418"/>
      <c r="H16" s="418"/>
    </row>
    <row r="17" spans="1:11" s="173" customFormat="1">
      <c r="A17" s="171">
        <v>0</v>
      </c>
      <c r="B17" s="171">
        <v>0</v>
      </c>
      <c r="C17" s="411">
        <v>0</v>
      </c>
      <c r="D17" s="411"/>
      <c r="E17" s="411">
        <v>0</v>
      </c>
      <c r="F17" s="411"/>
      <c r="G17" s="412">
        <v>0</v>
      </c>
      <c r="H17" s="412"/>
      <c r="J17" s="172"/>
    </row>
    <row r="18" spans="1:11" ht="27" customHeight="1">
      <c r="A18" s="409" t="s">
        <v>868</v>
      </c>
      <c r="B18" s="410"/>
      <c r="C18" s="410"/>
      <c r="D18" s="410"/>
      <c r="E18" s="410"/>
      <c r="F18" s="410"/>
      <c r="G18" s="410"/>
      <c r="H18" s="410"/>
    </row>
    <row r="20" spans="1:11">
      <c r="A20" s="415" t="s">
        <v>872</v>
      </c>
      <c r="B20" s="415"/>
    </row>
    <row r="21" spans="1:11" s="170" customFormat="1">
      <c r="A21" s="221" t="s">
        <v>127</v>
      </c>
      <c r="B21" s="221" t="s">
        <v>869</v>
      </c>
      <c r="C21" s="220" t="s">
        <v>870</v>
      </c>
      <c r="D21" s="220" t="s">
        <v>871</v>
      </c>
      <c r="E21" s="220" t="s">
        <v>77</v>
      </c>
    </row>
    <row r="22" spans="1:11">
      <c r="A22" s="418" t="s">
        <v>873</v>
      </c>
      <c r="B22" s="418"/>
      <c r="C22" s="418"/>
      <c r="D22" s="418"/>
      <c r="E22" s="418"/>
    </row>
    <row r="23" spans="1:11" s="173" customFormat="1">
      <c r="A23" s="171">
        <v>930</v>
      </c>
      <c r="B23" s="171">
        <v>217</v>
      </c>
      <c r="C23" s="171">
        <v>1147</v>
      </c>
      <c r="D23" s="171">
        <v>46</v>
      </c>
      <c r="E23" s="174">
        <v>1193</v>
      </c>
      <c r="F23" s="172"/>
      <c r="G23" s="172"/>
      <c r="K23" s="172"/>
    </row>
    <row r="24" spans="1:11">
      <c r="A24" s="418" t="s">
        <v>874</v>
      </c>
      <c r="B24" s="418"/>
      <c r="C24" s="418"/>
      <c r="D24" s="418"/>
      <c r="E24" s="418"/>
      <c r="G24" s="175"/>
      <c r="K24" s="172"/>
    </row>
    <row r="25" spans="1:11" s="173" customFormat="1">
      <c r="A25" s="171">
        <v>897</v>
      </c>
      <c r="B25" s="171">
        <v>203</v>
      </c>
      <c r="C25" s="171">
        <v>1100</v>
      </c>
      <c r="D25" s="171">
        <v>45</v>
      </c>
      <c r="E25" s="174">
        <v>1145</v>
      </c>
      <c r="G25" s="172"/>
      <c r="K25" s="172"/>
    </row>
    <row r="26" spans="1:11">
      <c r="A26" s="418" t="s">
        <v>875</v>
      </c>
      <c r="B26" s="418"/>
      <c r="C26" s="418"/>
      <c r="D26" s="418"/>
      <c r="E26" s="418"/>
      <c r="G26" s="175"/>
    </row>
    <row r="27" spans="1:11" s="173" customFormat="1">
      <c r="A27" s="171">
        <f>A23-A25</f>
        <v>33</v>
      </c>
      <c r="B27" s="171">
        <f t="shared" ref="B27:E27" si="1">B23-B25</f>
        <v>14</v>
      </c>
      <c r="C27" s="171">
        <f t="shared" si="1"/>
        <v>47</v>
      </c>
      <c r="D27" s="171">
        <f t="shared" si="1"/>
        <v>1</v>
      </c>
      <c r="E27" s="174">
        <f t="shared" si="1"/>
        <v>48</v>
      </c>
      <c r="G27" s="172"/>
    </row>
    <row r="28" spans="1:11">
      <c r="A28" s="418" t="s">
        <v>876</v>
      </c>
      <c r="B28" s="418"/>
      <c r="C28" s="418"/>
      <c r="D28" s="418"/>
      <c r="E28" s="418"/>
    </row>
    <row r="29" spans="1:11" s="173" customFormat="1">
      <c r="A29" s="171">
        <v>0</v>
      </c>
      <c r="B29" s="171">
        <v>0</v>
      </c>
      <c r="C29" s="171">
        <v>0</v>
      </c>
      <c r="D29" s="171">
        <v>0</v>
      </c>
      <c r="E29" s="174">
        <v>0</v>
      </c>
    </row>
    <row r="30" spans="1:11">
      <c r="A30" s="418" t="s">
        <v>866</v>
      </c>
      <c r="B30" s="418"/>
      <c r="C30" s="418"/>
      <c r="D30" s="418"/>
      <c r="E30" s="418"/>
    </row>
    <row r="31" spans="1:11" s="173" customFormat="1">
      <c r="A31" s="171">
        <v>930</v>
      </c>
      <c r="B31" s="171">
        <v>217</v>
      </c>
      <c r="C31" s="171">
        <v>1147</v>
      </c>
      <c r="D31" s="171">
        <v>46</v>
      </c>
      <c r="E31" s="174">
        <v>1193</v>
      </c>
    </row>
    <row r="32" spans="1:11">
      <c r="A32" s="418" t="s">
        <v>877</v>
      </c>
      <c r="B32" s="418"/>
      <c r="C32" s="418"/>
      <c r="D32" s="418"/>
      <c r="E32" s="418"/>
    </row>
    <row r="33" spans="1:12" s="173" customFormat="1">
      <c r="A33" s="171">
        <v>0</v>
      </c>
      <c r="B33" s="171">
        <v>0</v>
      </c>
      <c r="C33" s="171">
        <v>0</v>
      </c>
      <c r="D33" s="171">
        <v>0</v>
      </c>
      <c r="E33" s="174">
        <v>0</v>
      </c>
    </row>
    <row r="34" spans="1:12" ht="51.75" customHeight="1">
      <c r="A34" s="409" t="s">
        <v>878</v>
      </c>
      <c r="B34" s="410"/>
      <c r="C34" s="410"/>
      <c r="D34" s="410"/>
      <c r="E34" s="410"/>
    </row>
    <row r="36" spans="1:12">
      <c r="D36" s="175"/>
    </row>
    <row r="37" spans="1:12" s="167" customFormat="1" ht="30" customHeight="1" thickBot="1">
      <c r="A37" s="413" t="s">
        <v>879</v>
      </c>
      <c r="B37" s="414"/>
      <c r="C37" s="414"/>
      <c r="D37" s="414"/>
      <c r="E37" s="414"/>
      <c r="F37" s="414"/>
      <c r="G37" s="414"/>
      <c r="H37" s="414"/>
      <c r="I37" s="414"/>
      <c r="J37" s="414"/>
      <c r="K37" s="414"/>
      <c r="L37" s="414"/>
    </row>
    <row r="38" spans="1:12" ht="15">
      <c r="A38" s="168" t="s">
        <v>128</v>
      </c>
    </row>
    <row r="40" spans="1:12">
      <c r="A40" s="415" t="s">
        <v>880</v>
      </c>
      <c r="B40" s="415"/>
      <c r="C40" s="415"/>
      <c r="E40" s="415" t="s">
        <v>883</v>
      </c>
      <c r="F40" s="415"/>
      <c r="G40" s="415"/>
    </row>
    <row r="41" spans="1:12" s="176" customFormat="1" ht="12">
      <c r="A41" s="221" t="s">
        <v>881</v>
      </c>
      <c r="B41" s="221" t="s">
        <v>882</v>
      </c>
      <c r="C41" s="221" t="s">
        <v>77</v>
      </c>
      <c r="E41" s="220" t="s">
        <v>884</v>
      </c>
      <c r="F41" s="220" t="s">
        <v>871</v>
      </c>
      <c r="G41" s="220" t="s">
        <v>77</v>
      </c>
    </row>
    <row r="42" spans="1:12" s="177" customFormat="1" ht="12">
      <c r="A42" s="171">
        <v>91</v>
      </c>
      <c r="B42" s="171">
        <v>2118</v>
      </c>
      <c r="C42" s="174">
        <v>2209</v>
      </c>
      <c r="E42" s="171">
        <v>2077</v>
      </c>
      <c r="F42" s="171">
        <v>132</v>
      </c>
      <c r="G42" s="174">
        <v>2209</v>
      </c>
    </row>
    <row r="43" spans="1:12" s="178" customFormat="1" ht="12">
      <c r="A43" s="409" t="s">
        <v>899</v>
      </c>
      <c r="B43" s="410"/>
      <c r="C43" s="410"/>
      <c r="D43" s="410"/>
      <c r="E43" s="410"/>
    </row>
    <row r="45" spans="1:12" s="167" customFormat="1" ht="30" customHeight="1" thickBot="1">
      <c r="A45" s="413" t="s">
        <v>885</v>
      </c>
      <c r="B45" s="414"/>
      <c r="C45" s="414"/>
      <c r="D45" s="414"/>
      <c r="E45" s="414"/>
      <c r="F45" s="414"/>
      <c r="G45" s="414"/>
      <c r="H45" s="414"/>
      <c r="I45" s="414"/>
      <c r="J45" s="414"/>
      <c r="K45" s="414"/>
      <c r="L45" s="414"/>
    </row>
    <row r="46" spans="1:12" ht="15">
      <c r="A46" s="168" t="s">
        <v>129</v>
      </c>
    </row>
    <row r="48" spans="1:12" s="178" customFormat="1" ht="12">
      <c r="A48" s="435" t="s">
        <v>887</v>
      </c>
      <c r="B48" s="437">
        <v>2020</v>
      </c>
      <c r="C48" s="437"/>
      <c r="D48" s="437">
        <v>2021</v>
      </c>
      <c r="E48" s="437"/>
    </row>
    <row r="49" spans="1:5" s="176" customFormat="1" ht="24">
      <c r="A49" s="436"/>
      <c r="B49" s="222" t="s">
        <v>888</v>
      </c>
      <c r="C49" s="222" t="s">
        <v>886</v>
      </c>
      <c r="D49" s="222" t="s">
        <v>889</v>
      </c>
      <c r="E49" s="222" t="s">
        <v>886</v>
      </c>
    </row>
    <row r="50" spans="1:5" s="178" customFormat="1" ht="12">
      <c r="A50" s="419" t="s">
        <v>890</v>
      </c>
      <c r="B50" s="419"/>
      <c r="C50" s="419"/>
      <c r="D50" s="419"/>
      <c r="E50" s="419"/>
    </row>
    <row r="51" spans="1:5" s="178" customFormat="1" ht="12">
      <c r="A51" s="179" t="s">
        <v>189</v>
      </c>
      <c r="B51" s="180">
        <v>21</v>
      </c>
      <c r="C51" s="181">
        <v>1.9599999999999999E-2</v>
      </c>
      <c r="D51" s="180">
        <v>21</v>
      </c>
      <c r="E51" s="182">
        <f>D51/1132</f>
        <v>1.8551236749116608E-2</v>
      </c>
    </row>
    <row r="52" spans="1:5" s="178" customFormat="1" ht="12">
      <c r="A52" s="179" t="s">
        <v>195</v>
      </c>
      <c r="B52" s="180">
        <v>26</v>
      </c>
      <c r="C52" s="181">
        <v>2.4299999999999999E-2</v>
      </c>
      <c r="D52" s="180">
        <v>24</v>
      </c>
      <c r="E52" s="182">
        <f t="shared" ref="E52:E56" si="2">D52/1132</f>
        <v>2.1201413427561839E-2</v>
      </c>
    </row>
    <row r="53" spans="1:5" s="178" customFormat="1" ht="12">
      <c r="A53" s="179" t="s">
        <v>387</v>
      </c>
      <c r="B53" s="180">
        <v>16</v>
      </c>
      <c r="C53" s="181">
        <v>1.49E-2</v>
      </c>
      <c r="D53" s="180">
        <v>10</v>
      </c>
      <c r="E53" s="182">
        <f t="shared" si="2"/>
        <v>8.8339222614840993E-3</v>
      </c>
    </row>
    <row r="54" spans="1:5" s="178" customFormat="1" ht="12">
      <c r="A54" s="179" t="s">
        <v>56</v>
      </c>
      <c r="B54" s="180">
        <v>0</v>
      </c>
      <c r="C54" s="181">
        <v>0</v>
      </c>
      <c r="D54" s="180">
        <v>18</v>
      </c>
      <c r="E54" s="182">
        <f t="shared" si="2"/>
        <v>1.5901060070671377E-2</v>
      </c>
    </row>
    <row r="55" spans="1:5" s="178" customFormat="1" ht="12.75" thickBot="1">
      <c r="A55" s="183" t="s">
        <v>891</v>
      </c>
      <c r="B55" s="184">
        <v>0</v>
      </c>
      <c r="C55" s="185">
        <v>0</v>
      </c>
      <c r="D55" s="184">
        <v>24</v>
      </c>
      <c r="E55" s="186">
        <f t="shared" si="2"/>
        <v>2.1201413427561839E-2</v>
      </c>
    </row>
    <row r="56" spans="1:5" s="191" customFormat="1" ht="12.75" thickTop="1">
      <c r="A56" s="187" t="s">
        <v>77</v>
      </c>
      <c r="B56" s="188">
        <v>63</v>
      </c>
      <c r="C56" s="189">
        <v>5.8799999999999998E-2</v>
      </c>
      <c r="D56" s="188">
        <f>SUM(D51:D55)</f>
        <v>97</v>
      </c>
      <c r="E56" s="190">
        <f t="shared" si="2"/>
        <v>8.5689045936395758E-2</v>
      </c>
    </row>
    <row r="57" spans="1:5" s="178" customFormat="1" ht="12">
      <c r="A57" s="419" t="s">
        <v>892</v>
      </c>
      <c r="B57" s="419"/>
      <c r="C57" s="419"/>
      <c r="D57" s="419"/>
      <c r="E57" s="419"/>
    </row>
    <row r="58" spans="1:5" s="178" customFormat="1" ht="12">
      <c r="A58" s="192" t="s">
        <v>130</v>
      </c>
      <c r="B58" s="180">
        <v>14</v>
      </c>
      <c r="C58" s="181">
        <v>1.3100000000000001E-2</v>
      </c>
      <c r="D58" s="180">
        <v>26</v>
      </c>
      <c r="E58" s="182">
        <f>D58/1132</f>
        <v>2.2968197879858657E-2</v>
      </c>
    </row>
    <row r="59" spans="1:5" s="178" customFormat="1" ht="12">
      <c r="A59" s="192" t="s">
        <v>893</v>
      </c>
      <c r="B59" s="180">
        <v>38</v>
      </c>
      <c r="C59" s="181">
        <v>3.5499999999999997E-2</v>
      </c>
      <c r="D59" s="180">
        <v>68</v>
      </c>
      <c r="E59" s="182">
        <f t="shared" ref="E59:E61" si="3">D59/1132</f>
        <v>6.0070671378091869E-2</v>
      </c>
    </row>
    <row r="60" spans="1:5" s="178" customFormat="1" ht="12.75" thickBot="1">
      <c r="A60" s="193" t="s">
        <v>132</v>
      </c>
      <c r="B60" s="184">
        <v>11</v>
      </c>
      <c r="C60" s="194">
        <v>1.03E-2</v>
      </c>
      <c r="D60" s="184">
        <v>3</v>
      </c>
      <c r="E60" s="186">
        <f t="shared" si="3"/>
        <v>2.6501766784452299E-3</v>
      </c>
    </row>
    <row r="61" spans="1:5" s="178" customFormat="1" ht="12.75" thickTop="1">
      <c r="A61" s="187" t="s">
        <v>77</v>
      </c>
      <c r="B61" s="188">
        <v>63</v>
      </c>
      <c r="C61" s="195">
        <v>5.8799999999999998E-2</v>
      </c>
      <c r="D61" s="196">
        <f>SUM(D58:D60)</f>
        <v>97</v>
      </c>
      <c r="E61" s="190">
        <f t="shared" si="3"/>
        <v>8.5689045936395758E-2</v>
      </c>
    </row>
    <row r="62" spans="1:5" s="178" customFormat="1" ht="12">
      <c r="A62" s="419" t="s">
        <v>894</v>
      </c>
      <c r="B62" s="419"/>
      <c r="C62" s="419"/>
      <c r="D62" s="419"/>
      <c r="E62" s="419"/>
    </row>
    <row r="63" spans="1:5" s="178" customFormat="1" ht="12">
      <c r="A63" s="192" t="s">
        <v>881</v>
      </c>
      <c r="B63" s="180">
        <v>53</v>
      </c>
      <c r="C63" s="181">
        <v>4.9500000000000002E-2</v>
      </c>
      <c r="D63" s="180">
        <v>21</v>
      </c>
      <c r="E63" s="182">
        <f>D63/1132</f>
        <v>1.8551236749116608E-2</v>
      </c>
    </row>
    <row r="64" spans="1:5" s="178" customFormat="1" ht="12.75" thickBot="1">
      <c r="A64" s="193" t="s">
        <v>895</v>
      </c>
      <c r="B64" s="184">
        <v>10</v>
      </c>
      <c r="C64" s="194">
        <v>9.2999999999999992E-3</v>
      </c>
      <c r="D64" s="197">
        <v>76</v>
      </c>
      <c r="E64" s="186">
        <f t="shared" ref="E64:E65" si="4">D64/1132</f>
        <v>6.7137809187279157E-2</v>
      </c>
    </row>
    <row r="65" spans="1:12" s="191" customFormat="1" ht="12.75" thickTop="1">
      <c r="A65" s="187" t="s">
        <v>77</v>
      </c>
      <c r="B65" s="188">
        <v>63</v>
      </c>
      <c r="C65" s="195">
        <v>5.8799999999999998E-2</v>
      </c>
      <c r="D65" s="196">
        <f>SUM(D63:D64)</f>
        <v>97</v>
      </c>
      <c r="E65" s="190">
        <f t="shared" si="4"/>
        <v>8.5689045936395758E-2</v>
      </c>
    </row>
    <row r="66" spans="1:12" s="178" customFormat="1" ht="12">
      <c r="A66" s="419" t="s">
        <v>896</v>
      </c>
      <c r="B66" s="419"/>
      <c r="C66" s="419"/>
      <c r="D66" s="419"/>
      <c r="E66" s="419"/>
    </row>
    <row r="67" spans="1:12" s="178" customFormat="1" ht="12">
      <c r="A67" s="192" t="s">
        <v>897</v>
      </c>
      <c r="B67" s="180" t="s">
        <v>133</v>
      </c>
      <c r="C67" s="180" t="s">
        <v>133</v>
      </c>
      <c r="D67" s="180">
        <v>31</v>
      </c>
      <c r="E67" s="182">
        <f>D67/1132</f>
        <v>2.7385159010600707E-2</v>
      </c>
    </row>
    <row r="68" spans="1:12" s="178" customFormat="1" ht="12">
      <c r="A68" s="192" t="s">
        <v>898</v>
      </c>
      <c r="B68" s="180" t="s">
        <v>133</v>
      </c>
      <c r="C68" s="180" t="s">
        <v>133</v>
      </c>
      <c r="D68" s="180">
        <v>44</v>
      </c>
      <c r="E68" s="182">
        <f t="shared" ref="E68:E70" si="5">D68/1132</f>
        <v>3.8869257950530034E-2</v>
      </c>
    </row>
    <row r="69" spans="1:12" s="178" customFormat="1" ht="12.75" thickBot="1">
      <c r="A69" s="193" t="s">
        <v>871</v>
      </c>
      <c r="B69" s="184" t="s">
        <v>133</v>
      </c>
      <c r="C69" s="184" t="s">
        <v>133</v>
      </c>
      <c r="D69" s="184">
        <v>22</v>
      </c>
      <c r="E69" s="186">
        <f t="shared" si="5"/>
        <v>1.9434628975265017E-2</v>
      </c>
    </row>
    <row r="70" spans="1:12" s="191" customFormat="1" ht="12.75" thickTop="1">
      <c r="A70" s="187" t="s">
        <v>77</v>
      </c>
      <c r="B70" s="188" t="s">
        <v>133</v>
      </c>
      <c r="C70" s="188" t="s">
        <v>133</v>
      </c>
      <c r="D70" s="196">
        <f>SUM(D67:D69)</f>
        <v>97</v>
      </c>
      <c r="E70" s="190">
        <f t="shared" si="5"/>
        <v>8.5689045936395758E-2</v>
      </c>
    </row>
    <row r="71" spans="1:12" s="178" customFormat="1" ht="48" customHeight="1">
      <c r="A71" s="409" t="s">
        <v>900</v>
      </c>
      <c r="B71" s="410"/>
      <c r="C71" s="410"/>
      <c r="D71" s="410"/>
      <c r="E71" s="410"/>
    </row>
    <row r="72" spans="1:12">
      <c r="A72" s="198"/>
      <c r="B72" s="199"/>
      <c r="C72" s="199"/>
      <c r="D72" s="199"/>
      <c r="E72" s="199"/>
    </row>
    <row r="74" spans="1:12">
      <c r="A74" s="420" t="s">
        <v>901</v>
      </c>
      <c r="B74" s="395" t="s">
        <v>134</v>
      </c>
      <c r="C74" s="395"/>
      <c r="D74" s="395"/>
      <c r="E74" s="395"/>
      <c r="F74" s="395"/>
      <c r="G74" s="395"/>
      <c r="H74" s="395">
        <v>2021</v>
      </c>
      <c r="I74" s="395"/>
      <c r="J74" s="395"/>
      <c r="K74" s="395"/>
      <c r="L74" s="395"/>
    </row>
    <row r="75" spans="1:12" s="170" customFormat="1">
      <c r="A75" s="420"/>
      <c r="B75" s="126" t="s">
        <v>902</v>
      </c>
      <c r="C75" s="126" t="s">
        <v>903</v>
      </c>
      <c r="D75" s="220" t="s">
        <v>904</v>
      </c>
      <c r="E75" s="220" t="s">
        <v>903</v>
      </c>
      <c r="F75" s="220" t="s">
        <v>907</v>
      </c>
      <c r="G75" s="421" t="s">
        <v>908</v>
      </c>
      <c r="H75" s="421"/>
      <c r="I75" s="126" t="s">
        <v>903</v>
      </c>
      <c r="J75" s="220" t="s">
        <v>904</v>
      </c>
      <c r="K75" s="220" t="s">
        <v>903</v>
      </c>
      <c r="L75" s="220" t="s">
        <v>907</v>
      </c>
    </row>
    <row r="76" spans="1:12">
      <c r="A76" s="179" t="s">
        <v>130</v>
      </c>
      <c r="B76" s="180">
        <v>4</v>
      </c>
      <c r="C76" s="181">
        <v>3.7729916679767328E-3</v>
      </c>
      <c r="D76" s="171">
        <v>4</v>
      </c>
      <c r="E76" s="181">
        <v>3.7729916679767328E-3</v>
      </c>
      <c r="F76" s="200">
        <v>7.5459833359534656E-3</v>
      </c>
      <c r="G76" s="422">
        <v>3</v>
      </c>
      <c r="H76" s="423">
        <v>2.6501766784452299E-3</v>
      </c>
      <c r="I76" s="181">
        <v>2.6501766784452299E-3</v>
      </c>
      <c r="J76" s="171">
        <v>2</v>
      </c>
      <c r="K76" s="181">
        <v>1.7667844522968198E-3</v>
      </c>
      <c r="L76" s="200">
        <v>4.4169611307420496E-3</v>
      </c>
    </row>
    <row r="77" spans="1:12">
      <c r="A77" s="179" t="s">
        <v>131</v>
      </c>
      <c r="B77" s="201">
        <v>16</v>
      </c>
      <c r="C77" s="181">
        <v>1.4148718754912748E-2</v>
      </c>
      <c r="D77" s="202">
        <v>3</v>
      </c>
      <c r="E77" s="181">
        <v>3.7729916679767328E-3</v>
      </c>
      <c r="F77" s="200">
        <v>1.7921710422889481E-2</v>
      </c>
      <c r="G77" s="422">
        <v>20</v>
      </c>
      <c r="H77" s="423">
        <v>1.7667844522968199E-2</v>
      </c>
      <c r="I77" s="181">
        <v>1.7667844522968199E-2</v>
      </c>
      <c r="J77" s="171">
        <v>25</v>
      </c>
      <c r="K77" s="181">
        <v>2.2084805653710248E-2</v>
      </c>
      <c r="L77" s="200">
        <v>3.975265017667845E-2</v>
      </c>
    </row>
    <row r="78" spans="1:12">
      <c r="A78" s="179" t="s">
        <v>135</v>
      </c>
      <c r="B78" s="180">
        <v>3</v>
      </c>
      <c r="C78" s="181">
        <v>2.8297437509825496E-3</v>
      </c>
      <c r="D78" s="171">
        <v>4</v>
      </c>
      <c r="E78" s="181">
        <v>3.7729916679767328E-3</v>
      </c>
      <c r="F78" s="200">
        <v>6.6027354189592824E-3</v>
      </c>
      <c r="G78" s="422">
        <v>16</v>
      </c>
      <c r="H78" s="423">
        <v>1.4134275618374558E-2</v>
      </c>
      <c r="I78" s="181">
        <v>1.4134275618374558E-2</v>
      </c>
      <c r="J78" s="171">
        <v>8</v>
      </c>
      <c r="K78" s="181">
        <v>7.0671378091872791E-3</v>
      </c>
      <c r="L78" s="200">
        <v>2.1201413427561835E-2</v>
      </c>
    </row>
    <row r="79" spans="1:12" ht="29.25" customHeight="1">
      <c r="A79" s="429" t="s">
        <v>909</v>
      </c>
      <c r="B79" s="429"/>
      <c r="C79" s="429"/>
      <c r="D79" s="429"/>
      <c r="E79" s="429"/>
      <c r="F79" s="429"/>
    </row>
    <row r="82" spans="1:12">
      <c r="A82" s="420" t="s">
        <v>910</v>
      </c>
      <c r="B82" s="395">
        <v>2020</v>
      </c>
      <c r="C82" s="395"/>
      <c r="D82" s="395"/>
      <c r="E82" s="395"/>
      <c r="F82" s="395"/>
      <c r="G82" s="395"/>
      <c r="H82" s="395">
        <v>2021</v>
      </c>
      <c r="I82" s="395"/>
      <c r="J82" s="395"/>
      <c r="K82" s="395"/>
      <c r="L82" s="395"/>
    </row>
    <row r="83" spans="1:12" s="170" customFormat="1" ht="15" customHeight="1">
      <c r="A83" s="420"/>
      <c r="B83" s="126" t="s">
        <v>902</v>
      </c>
      <c r="C83" s="126" t="s">
        <v>903</v>
      </c>
      <c r="D83" s="220" t="s">
        <v>904</v>
      </c>
      <c r="E83" s="220" t="s">
        <v>903</v>
      </c>
      <c r="F83" s="220" t="s">
        <v>907</v>
      </c>
      <c r="G83" s="421" t="s">
        <v>908</v>
      </c>
      <c r="H83" s="421"/>
      <c r="I83" s="126" t="s">
        <v>903</v>
      </c>
      <c r="J83" s="220" t="s">
        <v>904</v>
      </c>
      <c r="K83" s="220" t="s">
        <v>905</v>
      </c>
      <c r="L83" s="220" t="s">
        <v>906</v>
      </c>
    </row>
    <row r="84" spans="1:12">
      <c r="A84" s="179" t="s">
        <v>895</v>
      </c>
      <c r="B84" s="180">
        <v>16</v>
      </c>
      <c r="C84" s="181">
        <v>1.4148718754912748E-2</v>
      </c>
      <c r="D84" s="171">
        <v>8</v>
      </c>
      <c r="E84" s="203">
        <v>8.4892312529476488E-3</v>
      </c>
      <c r="F84" s="200">
        <v>2.2637950007860397E-2</v>
      </c>
      <c r="G84" s="411">
        <v>34</v>
      </c>
      <c r="H84" s="428">
        <v>3.0035335689045935E-2</v>
      </c>
      <c r="I84" s="181">
        <v>3.0035335689045935E-2</v>
      </c>
      <c r="J84" s="171">
        <v>32</v>
      </c>
      <c r="K84" s="181">
        <v>2.8268551236749116E-2</v>
      </c>
      <c r="L84" s="200">
        <v>5.8303886925795051E-2</v>
      </c>
    </row>
    <row r="85" spans="1:12">
      <c r="A85" s="179" t="s">
        <v>911</v>
      </c>
      <c r="B85" s="201">
        <v>7</v>
      </c>
      <c r="C85" s="181">
        <v>6.6027354189592824E-3</v>
      </c>
      <c r="D85" s="202">
        <v>3</v>
      </c>
      <c r="E85" s="203">
        <v>2.8297437509825496E-3</v>
      </c>
      <c r="F85" s="200">
        <v>9.432479169941832E-3</v>
      </c>
      <c r="G85" s="411">
        <v>5</v>
      </c>
      <c r="H85" s="428">
        <v>4.4169611307420496E-3</v>
      </c>
      <c r="I85" s="181">
        <v>4.4169611307420496E-3</v>
      </c>
      <c r="J85" s="171">
        <v>3</v>
      </c>
      <c r="K85" s="181">
        <v>2.6501766784452299E-3</v>
      </c>
      <c r="L85" s="200">
        <v>7.0671378091872791E-3</v>
      </c>
    </row>
    <row r="86" spans="1:12" ht="29.25" customHeight="1">
      <c r="A86" s="429" t="s">
        <v>912</v>
      </c>
      <c r="B86" s="429"/>
      <c r="C86" s="429"/>
      <c r="D86" s="429"/>
      <c r="E86" s="429"/>
      <c r="F86" s="429"/>
    </row>
    <row r="89" spans="1:12">
      <c r="A89" s="420" t="s">
        <v>913</v>
      </c>
      <c r="B89" s="395">
        <v>2021</v>
      </c>
      <c r="C89" s="395"/>
      <c r="D89" s="395"/>
      <c r="E89" s="395"/>
      <c r="F89" s="395"/>
    </row>
    <row r="90" spans="1:12" s="170" customFormat="1">
      <c r="A90" s="420"/>
      <c r="B90" s="126" t="s">
        <v>902</v>
      </c>
      <c r="C90" s="126" t="s">
        <v>903</v>
      </c>
      <c r="D90" s="220" t="s">
        <v>904</v>
      </c>
      <c r="E90" s="220" t="s">
        <v>903</v>
      </c>
      <c r="F90" s="220" t="s">
        <v>907</v>
      </c>
    </row>
    <row r="91" spans="1:12" ht="24">
      <c r="A91" s="179" t="s">
        <v>185</v>
      </c>
      <c r="B91" s="180">
        <v>21</v>
      </c>
      <c r="C91" s="181">
        <f>B91/1132</f>
        <v>1.8551236749116608E-2</v>
      </c>
      <c r="D91" s="171">
        <v>20</v>
      </c>
      <c r="E91" s="181">
        <f>D91/1132</f>
        <v>1.7667844522968199E-2</v>
      </c>
      <c r="F91" s="200">
        <f>SUM(C91+E91)</f>
        <v>3.6219081272084806E-2</v>
      </c>
    </row>
    <row r="92" spans="1:12" ht="24">
      <c r="A92" s="179" t="s">
        <v>186</v>
      </c>
      <c r="B92" s="180">
        <v>11</v>
      </c>
      <c r="C92" s="181">
        <f t="shared" ref="C92:C93" si="6">B92/1132</f>
        <v>9.7173144876325085E-3</v>
      </c>
      <c r="D92" s="171">
        <v>11</v>
      </c>
      <c r="E92" s="181">
        <f t="shared" ref="E92:E93" si="7">D92/1132</f>
        <v>9.7173144876325085E-3</v>
      </c>
      <c r="F92" s="200">
        <f t="shared" ref="F92:F93" si="8">SUM(C92+E92)</f>
        <v>1.9434628975265017E-2</v>
      </c>
    </row>
    <row r="93" spans="1:12" ht="24">
      <c r="A93" s="179" t="s">
        <v>187</v>
      </c>
      <c r="B93" s="180">
        <v>7</v>
      </c>
      <c r="C93" s="181">
        <f t="shared" si="6"/>
        <v>6.183745583038869E-3</v>
      </c>
      <c r="D93" s="171">
        <v>4</v>
      </c>
      <c r="E93" s="181">
        <f t="shared" si="7"/>
        <v>3.5335689045936395E-3</v>
      </c>
      <c r="F93" s="200">
        <f t="shared" si="8"/>
        <v>9.7173144876325085E-3</v>
      </c>
    </row>
    <row r="94" spans="1:12" ht="47.25" customHeight="1">
      <c r="A94" s="429" t="s">
        <v>914</v>
      </c>
      <c r="B94" s="429"/>
      <c r="C94" s="429"/>
      <c r="D94" s="429"/>
      <c r="E94" s="429"/>
      <c r="F94" s="429"/>
    </row>
    <row r="95" spans="1:12">
      <c r="A95" s="424"/>
      <c r="B95" s="424"/>
      <c r="C95" s="424"/>
      <c r="D95" s="424"/>
      <c r="E95" s="424"/>
      <c r="F95" s="424"/>
    </row>
    <row r="97" spans="1:12" s="204" customFormat="1" ht="15">
      <c r="A97" s="126" t="s">
        <v>915</v>
      </c>
      <c r="B97" s="126">
        <v>2020</v>
      </c>
      <c r="C97" s="126">
        <v>2021</v>
      </c>
    </row>
    <row r="98" spans="1:12">
      <c r="A98" s="205" t="s">
        <v>916</v>
      </c>
      <c r="B98" s="203">
        <v>2.075145417387203E-2</v>
      </c>
      <c r="C98" s="203">
        <v>3.4452296819787988E-2</v>
      </c>
    </row>
    <row r="99" spans="1:12">
      <c r="A99" s="205" t="s">
        <v>917</v>
      </c>
      <c r="B99" s="203">
        <v>1.1318975003930198E-2</v>
      </c>
      <c r="C99" s="203">
        <v>3.0918727915194344E-2</v>
      </c>
    </row>
    <row r="100" spans="1:12" ht="15" thickBot="1">
      <c r="A100" s="206" t="s">
        <v>77</v>
      </c>
      <c r="B100" s="207">
        <v>3.2070429177802229E-2</v>
      </c>
      <c r="C100" s="207">
        <v>6.5371024734982325E-2</v>
      </c>
    </row>
    <row r="101" spans="1:12" ht="29.25" customHeight="1" thickTop="1">
      <c r="A101" s="430" t="s">
        <v>918</v>
      </c>
      <c r="B101" s="430"/>
      <c r="C101" s="430"/>
      <c r="D101" s="208"/>
      <c r="E101" s="208"/>
      <c r="F101" s="208"/>
    </row>
    <row r="104" spans="1:12" s="167" customFormat="1" ht="30" customHeight="1" thickBot="1">
      <c r="A104" s="413" t="s">
        <v>919</v>
      </c>
      <c r="B104" s="414"/>
      <c r="C104" s="414"/>
      <c r="D104" s="414"/>
      <c r="E104" s="414"/>
      <c r="F104" s="414"/>
      <c r="G104" s="414"/>
      <c r="H104" s="414"/>
      <c r="I104" s="414"/>
      <c r="J104" s="414"/>
      <c r="K104" s="414"/>
      <c r="L104" s="414"/>
    </row>
    <row r="105" spans="1:12" ht="15">
      <c r="A105" s="168" t="s">
        <v>136</v>
      </c>
    </row>
    <row r="107" spans="1:12">
      <c r="A107" s="223" t="s">
        <v>923</v>
      </c>
      <c r="B107" s="223" t="s">
        <v>920</v>
      </c>
      <c r="C107" s="223" t="s">
        <v>921</v>
      </c>
      <c r="D107" s="223" t="s">
        <v>922</v>
      </c>
    </row>
    <row r="108" spans="1:12">
      <c r="A108" s="209" t="s">
        <v>882</v>
      </c>
      <c r="B108" s="202">
        <v>1012</v>
      </c>
      <c r="C108" s="202">
        <v>4190</v>
      </c>
      <c r="D108" s="210">
        <f>C108/B108</f>
        <v>4.1403162055335967</v>
      </c>
    </row>
    <row r="109" spans="1:12">
      <c r="A109" s="209" t="s">
        <v>911</v>
      </c>
      <c r="B109" s="171">
        <v>181</v>
      </c>
      <c r="C109" s="202">
        <v>1136</v>
      </c>
      <c r="D109" s="210">
        <f>C109/B109</f>
        <v>6.2762430939226519</v>
      </c>
    </row>
    <row r="110" spans="1:12" ht="15" thickBot="1">
      <c r="A110" s="211" t="s">
        <v>77</v>
      </c>
      <c r="B110" s="212">
        <f>SUM(B108:B109)</f>
        <v>1193</v>
      </c>
      <c r="C110" s="212">
        <f>SUM(C108:C109)</f>
        <v>5326</v>
      </c>
      <c r="D110" s="213">
        <f>C110/B110</f>
        <v>4.4643755238893545</v>
      </c>
    </row>
    <row r="111" spans="1:12" ht="15" thickTop="1"/>
    <row r="113" spans="1:12" s="167" customFormat="1" ht="30" customHeight="1" thickBot="1">
      <c r="A113" s="413" t="s">
        <v>924</v>
      </c>
      <c r="B113" s="414"/>
      <c r="C113" s="414"/>
      <c r="D113" s="414"/>
      <c r="E113" s="414"/>
      <c r="F113" s="414"/>
      <c r="G113" s="414"/>
      <c r="H113" s="414"/>
      <c r="I113" s="414"/>
      <c r="J113" s="414"/>
      <c r="K113" s="414"/>
      <c r="L113" s="414"/>
    </row>
    <row r="114" spans="1:12" ht="15">
      <c r="A114" s="168" t="s">
        <v>137</v>
      </c>
    </row>
    <row r="116" spans="1:12">
      <c r="A116" s="425" t="s">
        <v>925</v>
      </c>
      <c r="B116" s="425"/>
      <c r="C116" s="425"/>
      <c r="D116" s="214"/>
    </row>
    <row r="117" spans="1:12" s="170" customFormat="1">
      <c r="A117" s="126" t="s">
        <v>926</v>
      </c>
      <c r="B117" s="126" t="s">
        <v>882</v>
      </c>
      <c r="C117" s="126" t="s">
        <v>881</v>
      </c>
      <c r="D117" s="215"/>
    </row>
    <row r="118" spans="1:12">
      <c r="A118" s="179" t="s">
        <v>927</v>
      </c>
      <c r="B118" s="216">
        <v>1</v>
      </c>
      <c r="C118" s="216">
        <v>0</v>
      </c>
      <c r="D118" s="217"/>
    </row>
    <row r="119" spans="1:12">
      <c r="A119" s="179" t="s">
        <v>928</v>
      </c>
      <c r="B119" s="216">
        <v>1</v>
      </c>
      <c r="C119" s="216">
        <v>0</v>
      </c>
      <c r="D119" s="217"/>
    </row>
    <row r="120" spans="1:12">
      <c r="A120" s="179" t="s">
        <v>929</v>
      </c>
      <c r="B120" s="216">
        <v>0.71</v>
      </c>
      <c r="C120" s="216">
        <v>0.28999999999999998</v>
      </c>
      <c r="D120" s="217"/>
    </row>
    <row r="121" spans="1:12">
      <c r="A121" s="179" t="s">
        <v>930</v>
      </c>
      <c r="B121" s="216">
        <v>0.91</v>
      </c>
      <c r="C121" s="216">
        <v>0.09</v>
      </c>
      <c r="D121" s="217"/>
    </row>
    <row r="122" spans="1:12">
      <c r="A122" s="179" t="s">
        <v>931</v>
      </c>
      <c r="B122" s="216">
        <v>0.84</v>
      </c>
      <c r="C122" s="216">
        <v>0.16</v>
      </c>
      <c r="D122" s="217"/>
    </row>
    <row r="125" spans="1:12">
      <c r="A125" s="426" t="s">
        <v>932</v>
      </c>
      <c r="B125" s="426"/>
      <c r="C125" s="426"/>
      <c r="D125" s="426"/>
    </row>
    <row r="126" spans="1:12">
      <c r="A126" s="125" t="s">
        <v>934</v>
      </c>
      <c r="B126" s="125" t="s">
        <v>935</v>
      </c>
      <c r="C126" s="125" t="s">
        <v>936</v>
      </c>
      <c r="D126" s="125" t="s">
        <v>937</v>
      </c>
    </row>
    <row r="127" spans="1:12">
      <c r="A127" s="179" t="s">
        <v>927</v>
      </c>
      <c r="B127" s="216">
        <v>0</v>
      </c>
      <c r="C127" s="216">
        <v>0.33</v>
      </c>
      <c r="D127" s="216">
        <v>0.67</v>
      </c>
    </row>
    <row r="128" spans="1:12">
      <c r="A128" s="179" t="s">
        <v>928</v>
      </c>
      <c r="B128" s="216">
        <v>0</v>
      </c>
      <c r="C128" s="216">
        <v>0.55000000000000004</v>
      </c>
      <c r="D128" s="216">
        <v>0.45</v>
      </c>
    </row>
    <row r="129" spans="1:12">
      <c r="A129" s="179" t="s">
        <v>929</v>
      </c>
      <c r="B129" s="216">
        <v>0</v>
      </c>
      <c r="C129" s="216">
        <v>0.68</v>
      </c>
      <c r="D129" s="216">
        <v>0.32</v>
      </c>
    </row>
    <row r="130" spans="1:12">
      <c r="A130" s="179" t="s">
        <v>930</v>
      </c>
      <c r="B130" s="216">
        <v>0.01</v>
      </c>
      <c r="C130" s="216">
        <v>0.71</v>
      </c>
      <c r="D130" s="216">
        <v>0.28000000000000003</v>
      </c>
    </row>
    <row r="131" spans="1:12">
      <c r="A131" s="179" t="s">
        <v>933</v>
      </c>
      <c r="B131" s="216">
        <v>0.1</v>
      </c>
      <c r="C131" s="216">
        <v>0.77</v>
      </c>
      <c r="D131" s="216">
        <v>0.13</v>
      </c>
    </row>
    <row r="134" spans="1:12" s="167" customFormat="1" ht="30" customHeight="1" thickBot="1">
      <c r="A134" s="413" t="s">
        <v>938</v>
      </c>
      <c r="B134" s="414"/>
      <c r="C134" s="414"/>
      <c r="D134" s="414"/>
      <c r="E134" s="414"/>
      <c r="F134" s="414"/>
      <c r="G134" s="414"/>
      <c r="H134" s="414"/>
      <c r="I134" s="414"/>
      <c r="J134" s="414"/>
      <c r="K134" s="414"/>
      <c r="L134" s="414"/>
    </row>
    <row r="135" spans="1:12" ht="15">
      <c r="A135" s="168" t="s">
        <v>138</v>
      </c>
    </row>
    <row r="137" spans="1:12" s="218" customFormat="1" ht="15">
      <c r="A137" s="125" t="s">
        <v>939</v>
      </c>
      <c r="B137" s="125" t="s">
        <v>940</v>
      </c>
    </row>
    <row r="138" spans="1:12">
      <c r="A138" s="179" t="s">
        <v>941</v>
      </c>
      <c r="B138" s="180" t="s">
        <v>139</v>
      </c>
    </row>
    <row r="139" spans="1:12">
      <c r="A139" s="179" t="s">
        <v>942</v>
      </c>
      <c r="B139" s="180" t="s">
        <v>139</v>
      </c>
    </row>
    <row r="140" spans="1:12">
      <c r="A140" s="179" t="s">
        <v>929</v>
      </c>
      <c r="B140" s="180">
        <v>0.73</v>
      </c>
    </row>
    <row r="141" spans="1:12">
      <c r="A141" s="179" t="s">
        <v>943</v>
      </c>
      <c r="B141" s="180">
        <v>0.74</v>
      </c>
    </row>
    <row r="142" spans="1:12">
      <c r="A142" s="179" t="s">
        <v>933</v>
      </c>
      <c r="B142" s="180">
        <v>0.95</v>
      </c>
    </row>
    <row r="143" spans="1:12" ht="30.75" customHeight="1">
      <c r="A143" s="427" t="s">
        <v>944</v>
      </c>
      <c r="B143" s="427"/>
    </row>
    <row r="144" spans="1:12">
      <c r="A144" s="424"/>
      <c r="B144" s="424"/>
    </row>
    <row r="146" spans="1:12" s="167" customFormat="1" ht="30" customHeight="1" thickBot="1">
      <c r="A146" s="413" t="s">
        <v>86</v>
      </c>
      <c r="B146" s="414"/>
      <c r="C146" s="414"/>
      <c r="D146" s="414"/>
      <c r="E146" s="414"/>
      <c r="F146" s="414"/>
      <c r="G146" s="414"/>
      <c r="H146" s="414"/>
      <c r="I146" s="414"/>
      <c r="J146" s="414"/>
      <c r="K146" s="414"/>
      <c r="L146" s="414"/>
    </row>
    <row r="147" spans="1:12" ht="15">
      <c r="A147" s="168" t="s">
        <v>140</v>
      </c>
    </row>
    <row r="149" spans="1:12">
      <c r="A149" s="125" t="s">
        <v>920</v>
      </c>
      <c r="B149" s="125" t="s">
        <v>945</v>
      </c>
      <c r="C149" s="125" t="s">
        <v>946</v>
      </c>
    </row>
    <row r="150" spans="1:12">
      <c r="A150" s="180">
        <v>1193</v>
      </c>
      <c r="B150" s="180">
        <v>845</v>
      </c>
      <c r="C150" s="219">
        <v>0.71</v>
      </c>
    </row>
    <row r="151" spans="1:12" ht="38.25" customHeight="1">
      <c r="A151" s="427" t="s">
        <v>947</v>
      </c>
      <c r="B151" s="427"/>
      <c r="C151" s="427"/>
    </row>
    <row r="152" spans="1:12" ht="24" customHeight="1">
      <c r="A152" s="424"/>
      <c r="B152" s="424"/>
      <c r="C152" s="424"/>
    </row>
  </sheetData>
  <mergeCells count="83">
    <mergeCell ref="A101:C101"/>
    <mergeCell ref="A71:E71"/>
    <mergeCell ref="A10:H10"/>
    <mergeCell ref="C11:D11"/>
    <mergeCell ref="E11:F11"/>
    <mergeCell ref="G11:H11"/>
    <mergeCell ref="A26:E26"/>
    <mergeCell ref="A66:E66"/>
    <mergeCell ref="A48:A49"/>
    <mergeCell ref="A40:C40"/>
    <mergeCell ref="E40:G40"/>
    <mergeCell ref="A45:L45"/>
    <mergeCell ref="B48:C48"/>
    <mergeCell ref="D48:E48"/>
    <mergeCell ref="A50:E50"/>
    <mergeCell ref="A57:E57"/>
    <mergeCell ref="A95:F95"/>
    <mergeCell ref="G77:H77"/>
    <mergeCell ref="G78:H78"/>
    <mergeCell ref="A82:A83"/>
    <mergeCell ref="B82:G82"/>
    <mergeCell ref="H82:L82"/>
    <mergeCell ref="G83:H83"/>
    <mergeCell ref="G84:H84"/>
    <mergeCell ref="G85:H85"/>
    <mergeCell ref="A89:A90"/>
    <mergeCell ref="B89:F89"/>
    <mergeCell ref="A94:F94"/>
    <mergeCell ref="A79:F79"/>
    <mergeCell ref="A86:F86"/>
    <mergeCell ref="A152:C152"/>
    <mergeCell ref="A104:L104"/>
    <mergeCell ref="A113:L113"/>
    <mergeCell ref="A116:C116"/>
    <mergeCell ref="A125:D125"/>
    <mergeCell ref="A134:L134"/>
    <mergeCell ref="A143:B143"/>
    <mergeCell ref="A144:B144"/>
    <mergeCell ref="A146:L146"/>
    <mergeCell ref="A151:C151"/>
    <mergeCell ref="A74:A75"/>
    <mergeCell ref="B74:G74"/>
    <mergeCell ref="H74:L74"/>
    <mergeCell ref="G75:H75"/>
    <mergeCell ref="G76:H76"/>
    <mergeCell ref="A43:E43"/>
    <mergeCell ref="A32:E32"/>
    <mergeCell ref="A34:E34"/>
    <mergeCell ref="A37:L37"/>
    <mergeCell ref="A62:E62"/>
    <mergeCell ref="A20:B20"/>
    <mergeCell ref="A22:E22"/>
    <mergeCell ref="A24:E24"/>
    <mergeCell ref="A28:E28"/>
    <mergeCell ref="A30:E30"/>
    <mergeCell ref="A12:H12"/>
    <mergeCell ref="C13:D13"/>
    <mergeCell ref="E13:F13"/>
    <mergeCell ref="G13:H13"/>
    <mergeCell ref="A14:H14"/>
    <mergeCell ref="C15:D15"/>
    <mergeCell ref="E15:F15"/>
    <mergeCell ref="G15:H15"/>
    <mergeCell ref="A16:H16"/>
    <mergeCell ref="C17:D17"/>
    <mergeCell ref="E17:F17"/>
    <mergeCell ref="G17:H17"/>
    <mergeCell ref="A18:H18"/>
    <mergeCell ref="C9:D9"/>
    <mergeCell ref="E9:F9"/>
    <mergeCell ref="G9:H9"/>
    <mergeCell ref="A1:L1"/>
    <mergeCell ref="A4:C4"/>
    <mergeCell ref="D4:E4"/>
    <mergeCell ref="F4:G4"/>
    <mergeCell ref="C5:D5"/>
    <mergeCell ref="E5:F5"/>
    <mergeCell ref="G5:H5"/>
    <mergeCell ref="A6:H6"/>
    <mergeCell ref="C7:D7"/>
    <mergeCell ref="E7:F7"/>
    <mergeCell ref="G7:H7"/>
    <mergeCell ref="A8:H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A682-AF02-41D2-8F3A-ED3F573D6C94}">
  <dimension ref="A1:L80"/>
  <sheetViews>
    <sheetView showGridLines="0" zoomScale="90" zoomScaleNormal="90" workbookViewId="0">
      <selection activeCell="B9" sqref="B9:C9"/>
    </sheetView>
  </sheetViews>
  <sheetFormatPr defaultColWidth="11.42578125" defaultRowHeight="15"/>
  <cols>
    <col min="1" max="1" width="52.42578125" style="10" customWidth="1"/>
    <col min="2" max="2" width="45.85546875" style="10" customWidth="1"/>
    <col min="3" max="3" width="34.42578125" style="10" customWidth="1"/>
    <col min="4" max="16384" width="11.42578125" style="10"/>
  </cols>
  <sheetData>
    <row r="1" spans="1:12" ht="20.25" thickBot="1">
      <c r="A1" s="438" t="s">
        <v>965</v>
      </c>
      <c r="B1" s="439"/>
      <c r="C1" s="439"/>
      <c r="D1" s="439"/>
      <c r="E1" s="439"/>
      <c r="F1" s="439"/>
      <c r="G1" s="439"/>
      <c r="H1" s="439"/>
      <c r="I1" s="439"/>
      <c r="J1" s="439"/>
      <c r="K1" s="439"/>
      <c r="L1" s="439"/>
    </row>
    <row r="2" spans="1:12" s="15" customFormat="1" ht="15.75" thickTop="1">
      <c r="A2" s="15" t="s">
        <v>302</v>
      </c>
    </row>
    <row r="4" spans="1:12">
      <c r="A4" s="29"/>
      <c r="B4" s="30" t="s">
        <v>189</v>
      </c>
      <c r="C4" s="224" t="s">
        <v>195</v>
      </c>
    </row>
    <row r="5" spans="1:12">
      <c r="A5" s="225" t="s">
        <v>303</v>
      </c>
      <c r="B5" s="226" t="s">
        <v>951</v>
      </c>
      <c r="C5" s="227" t="s">
        <v>952</v>
      </c>
    </row>
    <row r="6" spans="1:12">
      <c r="A6" s="32" t="s">
        <v>948</v>
      </c>
      <c r="B6" s="28">
        <v>37</v>
      </c>
      <c r="C6" s="35">
        <v>17</v>
      </c>
    </row>
    <row r="7" spans="1:12">
      <c r="A7" s="225" t="s">
        <v>949</v>
      </c>
      <c r="B7" s="226">
        <v>189</v>
      </c>
      <c r="C7" s="227">
        <v>72</v>
      </c>
    </row>
    <row r="8" spans="1:12">
      <c r="A8" s="32" t="s">
        <v>950</v>
      </c>
      <c r="B8" s="370" t="s">
        <v>953</v>
      </c>
      <c r="C8" s="440"/>
    </row>
    <row r="9" spans="1:12" ht="39.75" customHeight="1">
      <c r="A9" s="225" t="s">
        <v>1223</v>
      </c>
      <c r="B9" s="441" t="s">
        <v>958</v>
      </c>
      <c r="C9" s="442"/>
    </row>
    <row r="10" spans="1:12" ht="96">
      <c r="A10" s="32" t="s">
        <v>957</v>
      </c>
      <c r="B10" s="228" t="s">
        <v>959</v>
      </c>
      <c r="C10" s="35" t="s">
        <v>961</v>
      </c>
    </row>
    <row r="11" spans="1:12">
      <c r="A11" s="225" t="s">
        <v>955</v>
      </c>
      <c r="B11" s="443" t="s">
        <v>954</v>
      </c>
      <c r="C11" s="442"/>
    </row>
    <row r="12" spans="1:12">
      <c r="A12" s="229" t="s">
        <v>956</v>
      </c>
      <c r="B12" s="444" t="s">
        <v>960</v>
      </c>
      <c r="C12" s="445"/>
    </row>
    <row r="15" spans="1:12" ht="20.25" thickBot="1">
      <c r="A15" s="364" t="s">
        <v>966</v>
      </c>
      <c r="B15" s="365"/>
      <c r="C15" s="365"/>
      <c r="D15" s="365"/>
      <c r="E15" s="365"/>
      <c r="F15" s="365"/>
      <c r="G15" s="365"/>
      <c r="H15" s="365"/>
      <c r="I15" s="365"/>
      <c r="J15" s="365"/>
      <c r="K15" s="365"/>
      <c r="L15" s="365"/>
    </row>
    <row r="16" spans="1:12" s="15" customFormat="1">
      <c r="A16" s="15" t="s">
        <v>971</v>
      </c>
    </row>
    <row r="18" spans="1:12">
      <c r="A18" s="54" t="s">
        <v>962</v>
      </c>
      <c r="B18" s="54" t="s">
        <v>189</v>
      </c>
      <c r="C18" s="54" t="s">
        <v>195</v>
      </c>
    </row>
    <row r="19" spans="1:12">
      <c r="A19" s="28" t="s">
        <v>303</v>
      </c>
      <c r="B19" s="28" t="s">
        <v>141</v>
      </c>
      <c r="C19" s="28" t="s">
        <v>952</v>
      </c>
    </row>
    <row r="20" spans="1:12">
      <c r="A20" s="28" t="s">
        <v>948</v>
      </c>
      <c r="B20" s="73">
        <v>37</v>
      </c>
      <c r="C20" s="73">
        <v>17</v>
      </c>
    </row>
    <row r="21" spans="1:12">
      <c r="A21" s="28" t="s">
        <v>949</v>
      </c>
      <c r="B21" s="73">
        <v>189</v>
      </c>
      <c r="C21" s="73">
        <v>72</v>
      </c>
    </row>
    <row r="22" spans="1:12" ht="24">
      <c r="A22" s="28" t="s">
        <v>963</v>
      </c>
      <c r="B22" s="230">
        <v>0</v>
      </c>
      <c r="C22" s="230">
        <v>0.06</v>
      </c>
    </row>
    <row r="23" spans="1:12" ht="24">
      <c r="A23" s="28" t="s">
        <v>991</v>
      </c>
      <c r="B23" s="230">
        <v>1</v>
      </c>
      <c r="C23" s="230">
        <v>1</v>
      </c>
    </row>
    <row r="26" spans="1:12" ht="20.25" thickBot="1">
      <c r="A26" s="364" t="s">
        <v>967</v>
      </c>
      <c r="B26" s="365"/>
      <c r="C26" s="365"/>
      <c r="D26" s="365"/>
      <c r="E26" s="365"/>
      <c r="F26" s="365"/>
      <c r="G26" s="365"/>
      <c r="H26" s="365"/>
      <c r="I26" s="365"/>
      <c r="J26" s="365"/>
      <c r="K26" s="365"/>
      <c r="L26" s="365"/>
    </row>
    <row r="27" spans="1:12" s="15" customFormat="1">
      <c r="A27" s="15" t="s">
        <v>964</v>
      </c>
    </row>
    <row r="29" spans="1:12">
      <c r="A29" s="54" t="s">
        <v>968</v>
      </c>
      <c r="B29" s="54" t="s">
        <v>189</v>
      </c>
      <c r="C29" s="54" t="s">
        <v>195</v>
      </c>
    </row>
    <row r="30" spans="1:12">
      <c r="A30" s="28" t="s">
        <v>303</v>
      </c>
      <c r="B30" s="28" t="s">
        <v>141</v>
      </c>
      <c r="C30" s="28" t="s">
        <v>952</v>
      </c>
    </row>
    <row r="31" spans="1:12">
      <c r="A31" s="28" t="s">
        <v>948</v>
      </c>
      <c r="B31" s="73">
        <v>37</v>
      </c>
      <c r="C31" s="73">
        <v>17</v>
      </c>
    </row>
    <row r="32" spans="1:12">
      <c r="A32" s="28" t="s">
        <v>949</v>
      </c>
      <c r="B32" s="73">
        <v>189</v>
      </c>
      <c r="C32" s="73">
        <v>72</v>
      </c>
    </row>
    <row r="33" spans="1:12" ht="24">
      <c r="A33" s="28" t="s">
        <v>969</v>
      </c>
      <c r="B33" s="230">
        <v>0</v>
      </c>
      <c r="C33" s="230">
        <v>0</v>
      </c>
    </row>
    <row r="34" spans="1:12" ht="24">
      <c r="A34" s="28" t="s">
        <v>970</v>
      </c>
      <c r="B34" s="230">
        <v>1</v>
      </c>
      <c r="C34" s="230">
        <v>1</v>
      </c>
    </row>
    <row r="37" spans="1:12" ht="20.25" thickBot="1">
      <c r="A37" s="364" t="s">
        <v>976</v>
      </c>
      <c r="B37" s="365"/>
      <c r="C37" s="365"/>
      <c r="D37" s="365"/>
      <c r="E37" s="365"/>
      <c r="F37" s="365"/>
      <c r="G37" s="365"/>
      <c r="H37" s="365"/>
      <c r="I37" s="365"/>
      <c r="J37" s="365"/>
      <c r="K37" s="365"/>
      <c r="L37" s="365"/>
    </row>
    <row r="38" spans="1:12" s="15" customFormat="1">
      <c r="A38" s="15" t="s">
        <v>972</v>
      </c>
    </row>
    <row r="39" spans="1:12" s="15" customFormat="1"/>
    <row r="40" spans="1:12">
      <c r="A40" s="54" t="s">
        <v>990</v>
      </c>
      <c r="B40" s="54" t="s">
        <v>189</v>
      </c>
      <c r="C40" s="54" t="s">
        <v>195</v>
      </c>
    </row>
    <row r="41" spans="1:12">
      <c r="A41" s="28" t="s">
        <v>303</v>
      </c>
      <c r="B41" s="28" t="s">
        <v>141</v>
      </c>
      <c r="C41" s="28" t="s">
        <v>952</v>
      </c>
    </row>
    <row r="42" spans="1:12">
      <c r="A42" s="28" t="s">
        <v>948</v>
      </c>
      <c r="B42" s="73">
        <v>37</v>
      </c>
      <c r="C42" s="73">
        <v>17</v>
      </c>
    </row>
    <row r="43" spans="1:12">
      <c r="A43" s="28" t="s">
        <v>949</v>
      </c>
      <c r="B43" s="73">
        <v>189</v>
      </c>
      <c r="C43" s="73">
        <v>72</v>
      </c>
    </row>
    <row r="44" spans="1:12" ht="24">
      <c r="A44" s="28" t="s">
        <v>977</v>
      </c>
      <c r="B44" s="230">
        <v>1</v>
      </c>
      <c r="C44" s="230">
        <v>1</v>
      </c>
    </row>
    <row r="45" spans="1:12" ht="24">
      <c r="A45" s="28" t="s">
        <v>978</v>
      </c>
      <c r="B45" s="230">
        <v>0</v>
      </c>
      <c r="C45" s="230">
        <v>0</v>
      </c>
    </row>
    <row r="48" spans="1:12" ht="20.25" thickBot="1">
      <c r="A48" s="364" t="s">
        <v>980</v>
      </c>
      <c r="B48" s="365"/>
      <c r="C48" s="365"/>
      <c r="D48" s="365"/>
      <c r="E48" s="365"/>
      <c r="F48" s="365"/>
      <c r="G48" s="365"/>
      <c r="H48" s="365"/>
      <c r="I48" s="365"/>
      <c r="J48" s="365"/>
      <c r="K48" s="365"/>
      <c r="L48" s="365"/>
    </row>
    <row r="49" spans="1:12" s="15" customFormat="1">
      <c r="A49" s="15" t="s">
        <v>973</v>
      </c>
    </row>
    <row r="51" spans="1:12">
      <c r="A51" s="54" t="s">
        <v>981</v>
      </c>
      <c r="B51" s="54" t="s">
        <v>189</v>
      </c>
      <c r="C51" s="54" t="s">
        <v>195</v>
      </c>
    </row>
    <row r="52" spans="1:12">
      <c r="A52" s="28" t="s">
        <v>303</v>
      </c>
      <c r="B52" s="28" t="s">
        <v>951</v>
      </c>
      <c r="C52" s="28" t="s">
        <v>952</v>
      </c>
    </row>
    <row r="53" spans="1:12">
      <c r="A53" s="28" t="s">
        <v>948</v>
      </c>
      <c r="B53" s="73">
        <v>37</v>
      </c>
      <c r="C53" s="73">
        <v>17</v>
      </c>
    </row>
    <row r="54" spans="1:12">
      <c r="A54" s="28" t="s">
        <v>949</v>
      </c>
      <c r="B54" s="73">
        <v>189</v>
      </c>
      <c r="C54" s="73">
        <v>72</v>
      </c>
    </row>
    <row r="55" spans="1:12" ht="36">
      <c r="A55" s="28" t="s">
        <v>979</v>
      </c>
      <c r="B55" s="230">
        <v>0</v>
      </c>
      <c r="C55" s="230">
        <v>0.5</v>
      </c>
    </row>
    <row r="56" spans="1:12" ht="36">
      <c r="A56" s="28" t="s">
        <v>982</v>
      </c>
      <c r="B56" s="230">
        <v>1</v>
      </c>
      <c r="C56" s="230">
        <v>1</v>
      </c>
    </row>
    <row r="59" spans="1:12" ht="20.25" thickBot="1">
      <c r="A59" s="364" t="s">
        <v>1222</v>
      </c>
      <c r="B59" s="365"/>
      <c r="C59" s="365"/>
      <c r="D59" s="365"/>
      <c r="E59" s="365"/>
      <c r="F59" s="365"/>
      <c r="G59" s="365"/>
      <c r="H59" s="365"/>
      <c r="I59" s="365"/>
      <c r="J59" s="365"/>
      <c r="K59" s="365"/>
      <c r="L59" s="365"/>
    </row>
    <row r="60" spans="1:12" s="15" customFormat="1">
      <c r="A60" s="15" t="s">
        <v>974</v>
      </c>
    </row>
    <row r="61" spans="1:12" s="15" customFormat="1"/>
    <row r="62" spans="1:12">
      <c r="A62" s="54" t="s">
        <v>142</v>
      </c>
      <c r="B62" s="54" t="s">
        <v>189</v>
      </c>
      <c r="C62" s="54" t="s">
        <v>195</v>
      </c>
    </row>
    <row r="63" spans="1:12">
      <c r="A63" s="28" t="s">
        <v>303</v>
      </c>
      <c r="B63" s="28" t="s">
        <v>951</v>
      </c>
      <c r="C63" s="28" t="s">
        <v>952</v>
      </c>
    </row>
    <row r="64" spans="1:12">
      <c r="A64" s="28" t="s">
        <v>948</v>
      </c>
      <c r="B64" s="73">
        <v>37</v>
      </c>
      <c r="C64" s="73">
        <v>17</v>
      </c>
    </row>
    <row r="65" spans="1:12">
      <c r="A65" s="28" t="s">
        <v>188</v>
      </c>
      <c r="B65" s="73">
        <v>189</v>
      </c>
      <c r="C65" s="73">
        <v>72</v>
      </c>
    </row>
    <row r="66" spans="1:12" ht="36">
      <c r="A66" s="28" t="s">
        <v>983</v>
      </c>
      <c r="B66" s="230">
        <v>0.54</v>
      </c>
      <c r="C66" s="230">
        <v>0.1</v>
      </c>
    </row>
    <row r="67" spans="1:12" ht="36">
      <c r="A67" s="28" t="s">
        <v>984</v>
      </c>
      <c r="B67" s="230">
        <v>1</v>
      </c>
      <c r="C67" s="230">
        <v>1</v>
      </c>
    </row>
    <row r="70" spans="1:12" ht="20.25" thickBot="1">
      <c r="A70" s="364" t="s">
        <v>985</v>
      </c>
      <c r="B70" s="365"/>
      <c r="C70" s="365"/>
      <c r="D70" s="365"/>
      <c r="E70" s="365"/>
      <c r="F70" s="365"/>
      <c r="G70" s="365"/>
      <c r="H70" s="365"/>
      <c r="I70" s="365"/>
      <c r="J70" s="365"/>
      <c r="K70" s="365"/>
      <c r="L70" s="365"/>
    </row>
    <row r="71" spans="1:12" s="15" customFormat="1">
      <c r="A71" s="15" t="s">
        <v>975</v>
      </c>
    </row>
    <row r="73" spans="1:12" ht="15.75" thickBot="1">
      <c r="A73" s="284" t="s">
        <v>986</v>
      </c>
      <c r="B73" s="284" t="s">
        <v>189</v>
      </c>
      <c r="C73" s="284" t="s">
        <v>195</v>
      </c>
    </row>
    <row r="74" spans="1:12">
      <c r="A74" s="28" t="s">
        <v>303</v>
      </c>
      <c r="B74" s="28" t="s">
        <v>951</v>
      </c>
      <c r="C74" s="28" t="s">
        <v>952</v>
      </c>
    </row>
    <row r="75" spans="1:12">
      <c r="A75" s="28" t="s">
        <v>948</v>
      </c>
      <c r="B75" s="73">
        <v>37</v>
      </c>
      <c r="C75" s="73">
        <v>17</v>
      </c>
    </row>
    <row r="76" spans="1:12">
      <c r="A76" s="28" t="s">
        <v>949</v>
      </c>
      <c r="B76" s="73">
        <v>189</v>
      </c>
      <c r="C76" s="73">
        <v>72</v>
      </c>
    </row>
    <row r="77" spans="1:12" ht="36">
      <c r="A77" s="28" t="s">
        <v>987</v>
      </c>
      <c r="B77" s="230">
        <v>0</v>
      </c>
      <c r="C77" s="230">
        <v>0</v>
      </c>
    </row>
    <row r="78" spans="1:12" ht="36">
      <c r="A78" s="28" t="s">
        <v>988</v>
      </c>
      <c r="B78" s="230">
        <v>1</v>
      </c>
      <c r="C78" s="230">
        <f>15/17</f>
        <v>0.88235294117647056</v>
      </c>
    </row>
    <row r="79" spans="1:12" ht="29.25" customHeight="1"/>
    <row r="80" spans="1:12" ht="30" customHeight="1">
      <c r="A80" s="380" t="s">
        <v>989</v>
      </c>
      <c r="B80" s="380"/>
      <c r="C80" s="380"/>
      <c r="D80" s="380"/>
      <c r="E80" s="380"/>
      <c r="F80" s="380"/>
      <c r="G80" s="380"/>
      <c r="H80" s="380"/>
      <c r="I80" s="380"/>
    </row>
  </sheetData>
  <mergeCells count="12">
    <mergeCell ref="A80:I80"/>
    <mergeCell ref="B11:C11"/>
    <mergeCell ref="B12:C12"/>
    <mergeCell ref="A15:L15"/>
    <mergeCell ref="A26:L26"/>
    <mergeCell ref="A37:L37"/>
    <mergeCell ref="A48:L48"/>
    <mergeCell ref="A1:L1"/>
    <mergeCell ref="B8:C8"/>
    <mergeCell ref="B9:C9"/>
    <mergeCell ref="A59:L59"/>
    <mergeCell ref="A70:L70"/>
  </mergeCells>
  <pageMargins left="0.7" right="0.7" top="0.75" bottom="0.75" header="0.3" footer="0.3"/>
  <pageSetup orientation="portrait" r:id="rId1"/>
  <drawing r:id="rId2"/>
  <tableParts count="6">
    <tablePart r:id="rId3"/>
    <tablePart r:id="rId4"/>
    <tablePart r:id="rId5"/>
    <tablePart r:id="rId6"/>
    <tablePart r:id="rId7"/>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2FCF-035C-47F9-ADA9-6996F78C63DD}">
  <dimension ref="A1:L7"/>
  <sheetViews>
    <sheetView showGridLines="0" zoomScaleNormal="100" workbookViewId="0">
      <selection activeCell="B12" sqref="B12"/>
    </sheetView>
  </sheetViews>
  <sheetFormatPr defaultColWidth="11.42578125" defaultRowHeight="15"/>
  <cols>
    <col min="1" max="1" width="41.140625" style="10" customWidth="1"/>
    <col min="2" max="2" width="52" style="10" customWidth="1"/>
    <col min="3" max="3" width="25.140625" style="10" customWidth="1"/>
    <col min="4" max="16384" width="11.42578125" style="10"/>
  </cols>
  <sheetData>
    <row r="1" spans="1:12" ht="20.25" thickBot="1">
      <c r="A1" s="364" t="s">
        <v>992</v>
      </c>
      <c r="B1" s="365"/>
      <c r="C1" s="365"/>
      <c r="D1" s="365"/>
      <c r="E1" s="365"/>
      <c r="F1" s="365"/>
      <c r="G1" s="365"/>
      <c r="H1" s="365"/>
      <c r="I1" s="365"/>
      <c r="J1" s="365"/>
      <c r="K1" s="365"/>
      <c r="L1" s="365"/>
    </row>
    <row r="2" spans="1:12" s="15" customFormat="1">
      <c r="A2" s="15" t="s">
        <v>143</v>
      </c>
    </row>
    <row r="3" spans="1:12">
      <c r="A3" s="144"/>
    </row>
    <row r="4" spans="1:12">
      <c r="A4" s="70" t="s">
        <v>330</v>
      </c>
      <c r="B4" s="70" t="s">
        <v>331</v>
      </c>
      <c r="C4" s="70" t="s">
        <v>332</v>
      </c>
    </row>
    <row r="5" spans="1:12">
      <c r="A5" s="75">
        <v>107</v>
      </c>
      <c r="B5" s="75">
        <v>107</v>
      </c>
      <c r="C5" s="154">
        <v>1</v>
      </c>
    </row>
    <row r="6" spans="1:12" ht="51" customHeight="1">
      <c r="A6" s="370" t="s">
        <v>333</v>
      </c>
      <c r="B6" s="446"/>
      <c r="C6" s="446"/>
    </row>
    <row r="7" spans="1:12">
      <c r="A7" s="447"/>
      <c r="B7" s="447"/>
      <c r="C7" s="447"/>
    </row>
  </sheetData>
  <mergeCells count="3">
    <mergeCell ref="A1:L1"/>
    <mergeCell ref="A6:C6"/>
    <mergeCell ref="A7:C7"/>
  </mergeCell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434CA-6F96-4547-906E-541AFF07D60B}">
  <dimension ref="A1:L10"/>
  <sheetViews>
    <sheetView showGridLines="0" zoomScaleNormal="100" workbookViewId="0">
      <selection activeCell="B16" sqref="B16"/>
    </sheetView>
  </sheetViews>
  <sheetFormatPr defaultColWidth="11.42578125" defaultRowHeight="15"/>
  <cols>
    <col min="1" max="1" width="45.85546875" style="10" customWidth="1"/>
    <col min="2" max="2" width="34.140625" style="10" bestFit="1" customWidth="1"/>
    <col min="3" max="3" width="57.85546875" style="10" customWidth="1"/>
    <col min="4" max="4" width="23.85546875" style="10" bestFit="1" customWidth="1"/>
    <col min="5" max="16384" width="11.42578125" style="10"/>
  </cols>
  <sheetData>
    <row r="1" spans="1:12" s="71" customFormat="1" ht="30" customHeight="1" thickBot="1">
      <c r="A1" s="364" t="s">
        <v>993</v>
      </c>
      <c r="B1" s="365"/>
      <c r="C1" s="365"/>
      <c r="D1" s="365"/>
      <c r="E1" s="365"/>
      <c r="F1" s="365"/>
      <c r="G1" s="365"/>
      <c r="H1" s="365"/>
      <c r="I1" s="365"/>
      <c r="J1" s="365"/>
      <c r="K1" s="365"/>
      <c r="L1" s="365"/>
    </row>
    <row r="2" spans="1:12" s="15" customFormat="1">
      <c r="A2" s="15" t="s">
        <v>144</v>
      </c>
    </row>
    <row r="4" spans="1:12">
      <c r="A4" s="235" t="s">
        <v>773</v>
      </c>
      <c r="B4" s="235" t="s">
        <v>994</v>
      </c>
      <c r="C4" s="235" t="s">
        <v>996</v>
      </c>
      <c r="D4" s="235" t="s">
        <v>997</v>
      </c>
    </row>
    <row r="5" spans="1:12">
      <c r="A5" s="46" t="s">
        <v>189</v>
      </c>
      <c r="B5" s="75">
        <v>158</v>
      </c>
      <c r="C5" s="75">
        <v>145</v>
      </c>
      <c r="D5" s="231">
        <f>C5/B5</f>
        <v>0.91772151898734178</v>
      </c>
    </row>
    <row r="6" spans="1:12">
      <c r="A6" s="46" t="s">
        <v>195</v>
      </c>
      <c r="B6" s="75">
        <f>146+18</f>
        <v>164</v>
      </c>
      <c r="C6" s="75">
        <v>92</v>
      </c>
      <c r="D6" s="231">
        <f>C6/B6</f>
        <v>0.56097560975609762</v>
      </c>
    </row>
    <row r="7" spans="1:12">
      <c r="A7" s="46" t="s">
        <v>387</v>
      </c>
      <c r="B7" s="75">
        <v>3</v>
      </c>
      <c r="C7" s="75">
        <v>0</v>
      </c>
      <c r="D7" s="231">
        <f>C7/B7</f>
        <v>0</v>
      </c>
    </row>
    <row r="8" spans="1:12">
      <c r="A8" s="46" t="s">
        <v>56</v>
      </c>
      <c r="B8" s="75">
        <v>0</v>
      </c>
      <c r="C8" s="75">
        <v>0</v>
      </c>
      <c r="D8" s="231">
        <v>0</v>
      </c>
    </row>
    <row r="9" spans="1:12" ht="15.75" thickBot="1">
      <c r="A9" s="232" t="s">
        <v>77</v>
      </c>
      <c r="B9" s="233">
        <f>SUBTOTAL(109,Tabla59['# de personal de seguridad en el sitio(1)])</f>
        <v>325</v>
      </c>
      <c r="C9" s="233">
        <f>SUBTOTAL(109,Tabla59['# de personal de seguridad que ha recibido capacitación formal ])</f>
        <v>237</v>
      </c>
      <c r="D9" s="234">
        <f>Tabla59[[#Totals],['# de personal de seguridad que ha recibido capacitación formal ]]/Tabla59[[#Totals],['# de personal de seguridad en el sitio(1)]]</f>
        <v>0.72923076923076924</v>
      </c>
    </row>
    <row r="10" spans="1:12" ht="27" customHeight="1" thickTop="1">
      <c r="A10" s="448" t="s">
        <v>995</v>
      </c>
      <c r="B10" s="448"/>
      <c r="C10" s="448"/>
      <c r="D10" s="448"/>
    </row>
  </sheetData>
  <mergeCells count="2">
    <mergeCell ref="A1:L1"/>
    <mergeCell ref="A10:D10"/>
  </mergeCell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28F2-F6C4-4D6E-87FA-64A0B95BE20F}">
  <dimension ref="A1:L63"/>
  <sheetViews>
    <sheetView showGridLines="0" zoomScale="120" zoomScaleNormal="120" workbookViewId="0">
      <selection activeCell="F36" sqref="F36"/>
    </sheetView>
  </sheetViews>
  <sheetFormatPr defaultColWidth="11.42578125" defaultRowHeight="15"/>
  <cols>
    <col min="1" max="1" width="67.85546875" style="10" customWidth="1"/>
    <col min="2" max="2" width="86.140625" style="10" customWidth="1"/>
    <col min="3" max="3" width="34" style="10" customWidth="1"/>
    <col min="4" max="4" width="31.140625" style="10" customWidth="1"/>
    <col min="5" max="5" width="28.140625" style="10" customWidth="1"/>
    <col min="6" max="6" width="37" style="10" customWidth="1"/>
    <col min="7" max="7" width="55.42578125" style="10" customWidth="1"/>
    <col min="8" max="8" width="15.85546875" style="10" customWidth="1"/>
    <col min="9" max="9" width="16.140625" style="10" customWidth="1"/>
    <col min="10" max="10" width="9.85546875" style="10" bestFit="1" customWidth="1"/>
    <col min="11" max="11" width="8" style="10" customWidth="1"/>
    <col min="12" max="16384" width="11.42578125" style="10"/>
  </cols>
  <sheetData>
    <row r="1" spans="1:12" s="71" customFormat="1" ht="30" customHeight="1" thickBot="1">
      <c r="A1" s="364" t="s">
        <v>998</v>
      </c>
      <c r="B1" s="365"/>
      <c r="C1" s="365"/>
      <c r="D1" s="365"/>
      <c r="E1" s="365"/>
      <c r="F1" s="365"/>
      <c r="G1" s="365"/>
      <c r="H1" s="365"/>
      <c r="I1" s="365"/>
      <c r="J1" s="365"/>
      <c r="K1" s="365"/>
      <c r="L1" s="365"/>
    </row>
    <row r="2" spans="1:12" s="15" customFormat="1">
      <c r="A2" s="15" t="s">
        <v>145</v>
      </c>
    </row>
    <row r="4" spans="1:12" s="64" customFormat="1">
      <c r="A4" s="126" t="s">
        <v>999</v>
      </c>
      <c r="B4" s="421" t="s">
        <v>1001</v>
      </c>
      <c r="C4" s="421" t="s">
        <v>1002</v>
      </c>
      <c r="D4" s="421"/>
      <c r="E4" s="421"/>
      <c r="F4" s="421"/>
      <c r="G4" s="421"/>
      <c r="H4" s="421"/>
      <c r="I4" s="421"/>
      <c r="J4" s="421"/>
      <c r="K4" s="421"/>
      <c r="L4" s="421" t="s">
        <v>1010</v>
      </c>
    </row>
    <row r="5" spans="1:12" s="64" customFormat="1" ht="36">
      <c r="A5" s="126" t="s">
        <v>1000</v>
      </c>
      <c r="B5" s="421"/>
      <c r="C5" s="236" t="s">
        <v>1003</v>
      </c>
      <c r="D5" s="236" t="s">
        <v>1004</v>
      </c>
      <c r="E5" s="236" t="s">
        <v>1005</v>
      </c>
      <c r="F5" s="236" t="s">
        <v>1006</v>
      </c>
      <c r="G5" s="236" t="s">
        <v>410</v>
      </c>
      <c r="H5" s="236" t="s">
        <v>1007</v>
      </c>
      <c r="I5" s="236" t="s">
        <v>1008</v>
      </c>
      <c r="J5" s="236" t="s">
        <v>1009</v>
      </c>
      <c r="K5" s="236" t="s">
        <v>77</v>
      </c>
      <c r="L5" s="421"/>
    </row>
    <row r="6" spans="1:12">
      <c r="A6" s="237">
        <v>2020</v>
      </c>
      <c r="B6" s="237">
        <v>242.8</v>
      </c>
      <c r="C6" s="237">
        <v>99.5</v>
      </c>
      <c r="D6" s="237">
        <v>35.799999999999997</v>
      </c>
      <c r="E6" s="237">
        <v>35.5</v>
      </c>
      <c r="F6" s="237">
        <v>0</v>
      </c>
      <c r="G6" s="237">
        <v>16.7</v>
      </c>
      <c r="H6" s="237">
        <v>1.7</v>
      </c>
      <c r="I6" s="237">
        <v>3.1</v>
      </c>
      <c r="J6" s="237">
        <v>6.1</v>
      </c>
      <c r="K6" s="237">
        <v>198.4</v>
      </c>
      <c r="L6" s="238">
        <v>44.4</v>
      </c>
    </row>
    <row r="7" spans="1:12">
      <c r="A7" s="237">
        <v>2021</v>
      </c>
      <c r="B7" s="237">
        <v>335.72</v>
      </c>
      <c r="C7" s="237">
        <v>124.2</v>
      </c>
      <c r="D7" s="237">
        <v>47.4</v>
      </c>
      <c r="E7" s="237">
        <v>59.2</v>
      </c>
      <c r="F7" s="237">
        <v>0</v>
      </c>
      <c r="G7" s="237">
        <v>32</v>
      </c>
      <c r="H7" s="237">
        <v>3</v>
      </c>
      <c r="I7" s="237">
        <v>2</v>
      </c>
      <c r="J7" s="237">
        <v>18.100000000000001</v>
      </c>
      <c r="K7" s="237">
        <v>285.89999999999998</v>
      </c>
      <c r="L7" s="238">
        <v>49.8</v>
      </c>
    </row>
    <row r="8" spans="1:12" ht="30.75" customHeight="1">
      <c r="A8" s="449" t="s">
        <v>1011</v>
      </c>
      <c r="B8" s="449"/>
      <c r="C8" s="449"/>
      <c r="D8" s="449"/>
      <c r="E8" s="449"/>
      <c r="F8" s="449"/>
      <c r="G8" s="449"/>
      <c r="H8" s="449"/>
      <c r="I8" s="449"/>
      <c r="J8" s="449"/>
      <c r="K8" s="449"/>
      <c r="L8" s="449"/>
    </row>
    <row r="11" spans="1:12" s="71" customFormat="1" ht="30" customHeight="1" thickBot="1">
      <c r="A11" s="364" t="s">
        <v>1012</v>
      </c>
      <c r="B11" s="365"/>
      <c r="C11" s="365"/>
      <c r="D11" s="365"/>
      <c r="E11" s="365"/>
      <c r="F11" s="365"/>
      <c r="G11" s="365"/>
      <c r="H11" s="365"/>
      <c r="I11" s="365"/>
      <c r="J11" s="365"/>
      <c r="K11" s="365"/>
      <c r="L11" s="365"/>
    </row>
    <row r="12" spans="1:12" s="15" customFormat="1">
      <c r="A12" s="15" t="s">
        <v>146</v>
      </c>
    </row>
    <row r="14" spans="1:12">
      <c r="A14" s="73" t="s">
        <v>1029</v>
      </c>
      <c r="B14" s="239">
        <v>7423.9</v>
      </c>
    </row>
    <row r="15" spans="1:12">
      <c r="A15" s="73" t="s">
        <v>1031</v>
      </c>
      <c r="B15" s="240">
        <v>7929</v>
      </c>
    </row>
    <row r="16" spans="1:12">
      <c r="A16" s="73" t="s">
        <v>1030</v>
      </c>
      <c r="B16" s="240">
        <v>11019</v>
      </c>
    </row>
    <row r="17" spans="1:12">
      <c r="A17" s="73" t="s">
        <v>1032</v>
      </c>
      <c r="B17" s="240">
        <v>17237</v>
      </c>
    </row>
    <row r="18" spans="1:12">
      <c r="A18" s="73" t="s">
        <v>1034</v>
      </c>
      <c r="B18" s="240">
        <v>7929</v>
      </c>
    </row>
    <row r="19" spans="1:12">
      <c r="A19" s="73" t="s">
        <v>1033</v>
      </c>
      <c r="B19" s="240">
        <v>38801</v>
      </c>
    </row>
    <row r="20" spans="1:12">
      <c r="A20" s="73" t="s">
        <v>1035</v>
      </c>
      <c r="B20" s="241">
        <f>B18/B14</f>
        <v>1.0680370155848005</v>
      </c>
    </row>
    <row r="21" spans="1:12">
      <c r="A21" s="73" t="s">
        <v>1036</v>
      </c>
      <c r="B21" s="242">
        <f>B19/B16</f>
        <v>3.5212814229966423</v>
      </c>
    </row>
    <row r="22" spans="1:12" ht="27" customHeight="1">
      <c r="A22" s="243" t="s">
        <v>1037</v>
      </c>
      <c r="B22" s="244">
        <v>1</v>
      </c>
    </row>
    <row r="23" spans="1:12" ht="27.75" customHeight="1">
      <c r="A23" s="243" t="s">
        <v>1039</v>
      </c>
      <c r="B23" s="244">
        <v>2.25</v>
      </c>
    </row>
    <row r="24" spans="1:12" ht="25.5" customHeight="1">
      <c r="A24" s="245" t="s">
        <v>1038</v>
      </c>
      <c r="B24" s="246" t="s">
        <v>1040</v>
      </c>
    </row>
    <row r="25" spans="1:12" ht="82.5" customHeight="1">
      <c r="A25" s="379" t="s">
        <v>1041</v>
      </c>
      <c r="B25" s="379"/>
    </row>
    <row r="26" spans="1:12">
      <c r="A26" s="450"/>
      <c r="B26" s="450"/>
    </row>
    <row r="28" spans="1:12" s="71" customFormat="1" ht="30" customHeight="1" thickBot="1">
      <c r="A28" s="364" t="s">
        <v>1027</v>
      </c>
      <c r="B28" s="365"/>
      <c r="C28" s="365"/>
      <c r="D28" s="365"/>
      <c r="E28" s="365"/>
      <c r="F28" s="365"/>
      <c r="G28" s="365"/>
      <c r="H28" s="365"/>
      <c r="I28" s="365"/>
      <c r="J28" s="365"/>
      <c r="K28" s="365"/>
      <c r="L28" s="365"/>
    </row>
    <row r="29" spans="1:12" s="15" customFormat="1">
      <c r="A29" s="15" t="s">
        <v>147</v>
      </c>
    </row>
    <row r="31" spans="1:12" s="64" customFormat="1" ht="25.5" customHeight="1">
      <c r="A31" s="95" t="s">
        <v>395</v>
      </c>
      <c r="B31" s="95" t="s">
        <v>1073</v>
      </c>
      <c r="C31" s="95" t="s">
        <v>1048</v>
      </c>
      <c r="D31" s="95" t="s">
        <v>1056</v>
      </c>
      <c r="E31" s="95" t="s">
        <v>1057</v>
      </c>
      <c r="F31" s="95" t="s">
        <v>1058</v>
      </c>
      <c r="G31" s="95" t="s">
        <v>1079</v>
      </c>
    </row>
    <row r="32" spans="1:12" ht="72">
      <c r="A32" s="28" t="s">
        <v>1028</v>
      </c>
      <c r="B32" s="28" t="s">
        <v>1042</v>
      </c>
      <c r="C32" s="28" t="s">
        <v>1050</v>
      </c>
      <c r="D32" s="73" t="s">
        <v>1061</v>
      </c>
      <c r="E32" s="72" t="s">
        <v>1059</v>
      </c>
      <c r="F32" s="72" t="s">
        <v>1084</v>
      </c>
      <c r="G32" s="28" t="s">
        <v>1080</v>
      </c>
    </row>
    <row r="33" spans="1:12" ht="48">
      <c r="A33" s="28" t="s">
        <v>1028</v>
      </c>
      <c r="B33" s="28" t="s">
        <v>1043</v>
      </c>
      <c r="C33" s="28" t="s">
        <v>1049</v>
      </c>
      <c r="D33" s="73" t="s">
        <v>1062</v>
      </c>
      <c r="E33" s="72" t="s">
        <v>1059</v>
      </c>
      <c r="F33" s="72" t="s">
        <v>1085</v>
      </c>
      <c r="G33" s="28" t="s">
        <v>1081</v>
      </c>
    </row>
    <row r="34" spans="1:12" ht="32.25" customHeight="1">
      <c r="A34" s="28" t="s">
        <v>1028</v>
      </c>
      <c r="B34" s="28" t="s">
        <v>1044</v>
      </c>
      <c r="C34" s="28" t="s">
        <v>1054</v>
      </c>
      <c r="D34" s="73" t="s">
        <v>1063</v>
      </c>
      <c r="E34" s="72" t="s">
        <v>1059</v>
      </c>
      <c r="F34" s="72">
        <v>2021</v>
      </c>
      <c r="G34" s="28" t="s">
        <v>1082</v>
      </c>
    </row>
    <row r="35" spans="1:12" ht="36">
      <c r="A35" s="28" t="s">
        <v>1028</v>
      </c>
      <c r="B35" s="28" t="s">
        <v>1045</v>
      </c>
      <c r="C35" s="28" t="s">
        <v>1051</v>
      </c>
      <c r="D35" s="73" t="s">
        <v>1064</v>
      </c>
      <c r="E35" s="72" t="s">
        <v>1059</v>
      </c>
      <c r="F35" s="72">
        <v>2021</v>
      </c>
      <c r="G35" s="28" t="s">
        <v>1083</v>
      </c>
    </row>
    <row r="36" spans="1:12" ht="96">
      <c r="A36" s="28" t="s">
        <v>1028</v>
      </c>
      <c r="B36" s="28" t="s">
        <v>1046</v>
      </c>
      <c r="C36" s="28" t="s">
        <v>1052</v>
      </c>
      <c r="D36" s="75" t="s">
        <v>1065</v>
      </c>
      <c r="E36" s="72" t="s">
        <v>1059</v>
      </c>
      <c r="F36" s="72" t="s">
        <v>148</v>
      </c>
      <c r="G36" s="28" t="s">
        <v>1086</v>
      </c>
    </row>
    <row r="37" spans="1:12" ht="48">
      <c r="A37" s="28" t="s">
        <v>1028</v>
      </c>
      <c r="B37" s="28" t="s">
        <v>1047</v>
      </c>
      <c r="C37" s="28" t="s">
        <v>1053</v>
      </c>
      <c r="D37" s="75" t="s">
        <v>1066</v>
      </c>
      <c r="E37" s="72" t="s">
        <v>1059</v>
      </c>
      <c r="F37" s="72" t="s">
        <v>1060</v>
      </c>
      <c r="G37" s="28" t="s">
        <v>1219</v>
      </c>
    </row>
    <row r="38" spans="1:12" ht="96">
      <c r="A38" s="28" t="s">
        <v>83</v>
      </c>
      <c r="B38" s="28" t="s">
        <v>1071</v>
      </c>
      <c r="C38" s="28" t="s">
        <v>1055</v>
      </c>
      <c r="D38" s="73" t="s">
        <v>1067</v>
      </c>
      <c r="E38" s="72" t="s">
        <v>1059</v>
      </c>
      <c r="F38" s="72">
        <v>2021</v>
      </c>
      <c r="G38" s="28" t="s">
        <v>1087</v>
      </c>
    </row>
    <row r="39" spans="1:12" ht="96">
      <c r="A39" s="28" t="s">
        <v>83</v>
      </c>
      <c r="B39" s="28" t="s">
        <v>1072</v>
      </c>
      <c r="C39" s="28" t="s">
        <v>1074</v>
      </c>
      <c r="D39" s="73" t="s">
        <v>1068</v>
      </c>
      <c r="E39" s="72" t="s">
        <v>1059</v>
      </c>
      <c r="F39" s="72">
        <v>2021</v>
      </c>
      <c r="G39" s="28" t="s">
        <v>1220</v>
      </c>
    </row>
    <row r="40" spans="1:12" ht="84">
      <c r="A40" s="28" t="s">
        <v>83</v>
      </c>
      <c r="B40" s="28" t="s">
        <v>1075</v>
      </c>
      <c r="C40" s="28" t="s">
        <v>1078</v>
      </c>
      <c r="D40" s="73" t="s">
        <v>1069</v>
      </c>
      <c r="E40" s="72" t="s">
        <v>1059</v>
      </c>
      <c r="F40" s="72">
        <v>2021</v>
      </c>
      <c r="G40" s="28" t="s">
        <v>1088</v>
      </c>
    </row>
    <row r="41" spans="1:12" ht="72">
      <c r="A41" s="28" t="s">
        <v>149</v>
      </c>
      <c r="B41" s="28" t="s">
        <v>1076</v>
      </c>
      <c r="C41" s="28" t="s">
        <v>1077</v>
      </c>
      <c r="D41" s="73" t="s">
        <v>1070</v>
      </c>
      <c r="E41" s="72" t="s">
        <v>1059</v>
      </c>
      <c r="F41" s="72">
        <v>2021</v>
      </c>
      <c r="G41" s="28" t="s">
        <v>1221</v>
      </c>
    </row>
    <row r="42" spans="1:12" ht="24" customHeight="1">
      <c r="A42" s="379" t="s">
        <v>1218</v>
      </c>
      <c r="B42" s="379"/>
      <c r="C42" s="379"/>
      <c r="D42" s="379"/>
      <c r="E42" s="379"/>
      <c r="F42" s="379"/>
      <c r="G42" s="379"/>
      <c r="H42" s="379"/>
    </row>
    <row r="45" spans="1:12" s="71" customFormat="1" ht="30" customHeight="1" thickBot="1">
      <c r="A45" s="364" t="s">
        <v>1025</v>
      </c>
      <c r="B45" s="365"/>
      <c r="C45" s="365"/>
      <c r="D45" s="365"/>
      <c r="E45" s="365"/>
      <c r="F45" s="365"/>
      <c r="G45" s="365"/>
      <c r="H45" s="365"/>
      <c r="I45" s="365"/>
      <c r="J45" s="365"/>
      <c r="K45" s="365"/>
      <c r="L45" s="365"/>
    </row>
    <row r="46" spans="1:12" s="15" customFormat="1">
      <c r="A46" s="15" t="s">
        <v>150</v>
      </c>
    </row>
    <row r="48" spans="1:12" ht="24.75" customHeight="1">
      <c r="A48" s="54" t="s">
        <v>1013</v>
      </c>
      <c r="B48" s="54" t="s">
        <v>1026</v>
      </c>
    </row>
    <row r="49" spans="1:12" ht="72">
      <c r="A49" s="28" t="s">
        <v>1014</v>
      </c>
      <c r="B49" s="228" t="s">
        <v>1016</v>
      </c>
    </row>
    <row r="50" spans="1:12" ht="54" customHeight="1">
      <c r="A50" s="28" t="s">
        <v>1015</v>
      </c>
      <c r="B50" s="228" t="s">
        <v>1017</v>
      </c>
    </row>
    <row r="51" spans="1:12" ht="120">
      <c r="A51" s="28" t="s">
        <v>1023</v>
      </c>
      <c r="B51" s="358" t="s">
        <v>1018</v>
      </c>
    </row>
    <row r="52" spans="1:12" ht="96">
      <c r="A52" s="28" t="s">
        <v>1022</v>
      </c>
      <c r="B52" s="247" t="s">
        <v>1019</v>
      </c>
    </row>
    <row r="53" spans="1:12" ht="48">
      <c r="A53" s="28" t="s">
        <v>1021</v>
      </c>
      <c r="B53" s="228" t="s">
        <v>1020</v>
      </c>
    </row>
    <row r="54" spans="1:12" ht="24.75" customHeight="1">
      <c r="A54" s="370" t="s">
        <v>1024</v>
      </c>
      <c r="B54" s="370"/>
    </row>
    <row r="55" spans="1:12" ht="30" customHeight="1">
      <c r="A55" s="408"/>
      <c r="B55" s="408"/>
    </row>
    <row r="56" spans="1:12" s="71" customFormat="1" ht="30" customHeight="1" thickBot="1">
      <c r="A56" s="364" t="s">
        <v>1089</v>
      </c>
      <c r="B56" s="365"/>
      <c r="C56" s="365"/>
      <c r="D56" s="365"/>
      <c r="E56" s="365"/>
      <c r="F56" s="365"/>
      <c r="G56" s="365"/>
      <c r="H56" s="365"/>
      <c r="I56" s="365"/>
      <c r="J56" s="365"/>
      <c r="K56" s="365"/>
      <c r="L56" s="365"/>
    </row>
    <row r="57" spans="1:12" s="15" customFormat="1">
      <c r="A57" s="15" t="s">
        <v>151</v>
      </c>
    </row>
    <row r="59" spans="1:12" ht="24">
      <c r="A59" s="54" t="s">
        <v>1090</v>
      </c>
      <c r="B59" s="54" t="s">
        <v>1091</v>
      </c>
      <c r="C59" s="54" t="s">
        <v>1092</v>
      </c>
      <c r="D59" s="54" t="s">
        <v>1093</v>
      </c>
      <c r="E59" s="54" t="s">
        <v>1094</v>
      </c>
      <c r="F59" s="54" t="s">
        <v>1095</v>
      </c>
    </row>
    <row r="60" spans="1:12">
      <c r="A60" s="75" t="s">
        <v>152</v>
      </c>
      <c r="B60" s="75" t="s">
        <v>153</v>
      </c>
      <c r="C60" s="75" t="s">
        <v>154</v>
      </c>
      <c r="D60" s="75" t="s">
        <v>155</v>
      </c>
      <c r="E60" s="230">
        <v>0.02</v>
      </c>
      <c r="F60" s="154">
        <v>0.43</v>
      </c>
    </row>
    <row r="61" spans="1:12" ht="62.25" customHeight="1">
      <c r="A61" s="370" t="s">
        <v>1096</v>
      </c>
      <c r="B61" s="370"/>
      <c r="C61" s="370"/>
      <c r="D61" s="370"/>
      <c r="E61" s="370"/>
      <c r="F61" s="370"/>
    </row>
    <row r="62" spans="1:12">
      <c r="A62" s="370"/>
      <c r="B62" s="370"/>
      <c r="C62" s="370"/>
      <c r="D62" s="370"/>
      <c r="E62" s="370"/>
      <c r="F62" s="370"/>
    </row>
    <row r="63" spans="1:12">
      <c r="A63" s="370"/>
      <c r="B63" s="370"/>
      <c r="C63" s="370"/>
      <c r="D63" s="370"/>
      <c r="E63" s="370"/>
      <c r="F63" s="370"/>
    </row>
  </sheetData>
  <mergeCells count="17">
    <mergeCell ref="A63:F63"/>
    <mergeCell ref="A54:B54"/>
    <mergeCell ref="A55:B55"/>
    <mergeCell ref="A56:L56"/>
    <mergeCell ref="A61:F61"/>
    <mergeCell ref="A62:F62"/>
    <mergeCell ref="A42:H42"/>
    <mergeCell ref="A45:L45"/>
    <mergeCell ref="A11:L11"/>
    <mergeCell ref="A25:B25"/>
    <mergeCell ref="A26:B26"/>
    <mergeCell ref="A28:L28"/>
    <mergeCell ref="A1:L1"/>
    <mergeCell ref="B4:B5"/>
    <mergeCell ref="C4:K4"/>
    <mergeCell ref="L4:L5"/>
    <mergeCell ref="A8:L8"/>
  </mergeCells>
  <pageMargins left="0.7" right="0.7" top="0.75" bottom="0.75" header="0.3" footer="0.3"/>
  <pageSetup orientation="portrait" r:id="rId1"/>
  <drawing r:id="rId2"/>
  <tableParts count="3">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69B3-A6F7-43A4-94BB-89D1EDCCDF6B}">
  <dimension ref="A1:L95"/>
  <sheetViews>
    <sheetView showGridLines="0" topLeftCell="A37" zoomScale="110" zoomScaleNormal="110" workbookViewId="0">
      <selection activeCell="A72" sqref="A72:L72"/>
    </sheetView>
  </sheetViews>
  <sheetFormatPr defaultColWidth="11.42578125" defaultRowHeight="15"/>
  <cols>
    <col min="1" max="1" width="65" style="10" customWidth="1"/>
    <col min="2" max="2" width="37.140625" style="10" customWidth="1"/>
    <col min="3" max="3" width="30.140625" style="10" customWidth="1"/>
    <col min="4" max="4" width="52.42578125" style="10" bestFit="1" customWidth="1"/>
    <col min="5" max="5" width="24.42578125" style="10" customWidth="1"/>
    <col min="6" max="6" width="20" style="10" customWidth="1"/>
    <col min="7" max="7" width="19.140625" style="10" customWidth="1"/>
    <col min="8" max="8" width="18.140625" style="10" customWidth="1"/>
    <col min="9" max="9" width="22.85546875" style="10" customWidth="1"/>
    <col min="10" max="16384" width="11.42578125" style="10"/>
  </cols>
  <sheetData>
    <row r="1" spans="1:12" s="71" customFormat="1" ht="30" customHeight="1" thickBot="1">
      <c r="A1" s="364" t="s">
        <v>1227</v>
      </c>
      <c r="B1" s="365"/>
      <c r="C1" s="365"/>
      <c r="D1" s="365"/>
      <c r="E1" s="365"/>
      <c r="F1" s="365"/>
      <c r="G1" s="365"/>
      <c r="H1" s="365"/>
      <c r="I1" s="365"/>
      <c r="J1" s="365"/>
      <c r="K1" s="365"/>
      <c r="L1" s="365"/>
    </row>
    <row r="2" spans="1:12" s="15" customFormat="1">
      <c r="A2" s="15" t="s">
        <v>156</v>
      </c>
    </row>
    <row r="4" spans="1:12" s="64" customFormat="1">
      <c r="A4" s="95" t="s">
        <v>681</v>
      </c>
      <c r="B4" s="95" t="s">
        <v>157</v>
      </c>
      <c r="C4" s="95" t="s">
        <v>158</v>
      </c>
    </row>
    <row r="5" spans="1:12">
      <c r="A5" s="28" t="s">
        <v>189</v>
      </c>
      <c r="B5" s="248">
        <v>0.36</v>
      </c>
      <c r="C5" s="76">
        <v>0.4</v>
      </c>
    </row>
    <row r="6" spans="1:12">
      <c r="A6" s="28" t="s">
        <v>184</v>
      </c>
      <c r="B6" s="248">
        <v>1.06</v>
      </c>
      <c r="C6" s="76">
        <v>1.3</v>
      </c>
    </row>
    <row r="7" spans="1:12" s="12" customFormat="1" ht="12">
      <c r="A7" s="291" t="s">
        <v>77</v>
      </c>
      <c r="B7" s="345">
        <f>SUBTOTAL(109,Tabla12[2020])</f>
        <v>1.42</v>
      </c>
      <c r="C7" s="346">
        <f>SUBTOTAL(109,Tabla12[2021])</f>
        <v>1.7000000000000002</v>
      </c>
    </row>
    <row r="9" spans="1:12" ht="20.25" thickBot="1">
      <c r="A9" s="364" t="s">
        <v>1101</v>
      </c>
      <c r="B9" s="365"/>
      <c r="C9" s="365"/>
      <c r="D9" s="365"/>
      <c r="E9" s="365"/>
      <c r="F9" s="365"/>
      <c r="G9" s="365"/>
      <c r="H9" s="365"/>
      <c r="I9" s="365"/>
      <c r="J9" s="365"/>
      <c r="K9" s="365"/>
      <c r="L9" s="365"/>
    </row>
    <row r="10" spans="1:12">
      <c r="A10" s="249" t="s">
        <v>159</v>
      </c>
    </row>
    <row r="11" spans="1:12">
      <c r="A11" s="143"/>
    </row>
    <row r="12" spans="1:12" s="64" customFormat="1">
      <c r="A12" s="263" t="s">
        <v>1097</v>
      </c>
      <c r="B12" s="264" t="s">
        <v>1098</v>
      </c>
      <c r="C12" s="264" t="s">
        <v>1099</v>
      </c>
      <c r="D12" s="264" t="s">
        <v>1103</v>
      </c>
    </row>
    <row r="13" spans="1:12">
      <c r="A13" s="451">
        <v>2021</v>
      </c>
      <c r="B13" s="452"/>
      <c r="C13" s="452"/>
      <c r="D13" s="453"/>
    </row>
    <row r="14" spans="1:12" s="12" customFormat="1" ht="12">
      <c r="A14" s="250" t="s">
        <v>1100</v>
      </c>
      <c r="B14" s="121">
        <v>1937071.03</v>
      </c>
      <c r="C14" s="121">
        <v>11513037</v>
      </c>
      <c r="D14" s="251">
        <f>SUM(B14:C14)</f>
        <v>13450108.029999999</v>
      </c>
    </row>
    <row r="15" spans="1:12" s="12" customFormat="1" ht="24">
      <c r="A15" s="250" t="s">
        <v>1102</v>
      </c>
      <c r="B15" s="121">
        <v>10.6</v>
      </c>
      <c r="C15" s="121">
        <v>63</v>
      </c>
      <c r="D15" s="251">
        <f t="shared" ref="D15:D18" si="0">SUM(B15:C15)</f>
        <v>73.599999999999994</v>
      </c>
    </row>
    <row r="16" spans="1:12" s="12" customFormat="1" ht="12">
      <c r="A16" s="250" t="s">
        <v>1104</v>
      </c>
      <c r="B16" s="121">
        <v>0</v>
      </c>
      <c r="C16" s="121">
        <v>0</v>
      </c>
      <c r="D16" s="251">
        <f t="shared" si="0"/>
        <v>0</v>
      </c>
    </row>
    <row r="17" spans="1:12" s="12" customFormat="1" ht="12">
      <c r="A17" s="250" t="s">
        <v>1105</v>
      </c>
      <c r="B17" s="121">
        <v>419279.44</v>
      </c>
      <c r="C17" s="121">
        <v>2491999.35</v>
      </c>
      <c r="D17" s="251">
        <f t="shared" si="0"/>
        <v>2911278.79</v>
      </c>
    </row>
    <row r="18" spans="1:12" s="12" customFormat="1" ht="12">
      <c r="A18" s="250" t="s">
        <v>1106</v>
      </c>
      <c r="B18" s="252">
        <v>0</v>
      </c>
      <c r="C18" s="252">
        <v>0</v>
      </c>
      <c r="D18" s="253">
        <f t="shared" si="0"/>
        <v>0</v>
      </c>
    </row>
    <row r="19" spans="1:12">
      <c r="A19" s="451">
        <v>2020</v>
      </c>
      <c r="B19" s="452"/>
      <c r="C19" s="452"/>
      <c r="D19" s="453"/>
    </row>
    <row r="20" spans="1:12" s="12" customFormat="1" ht="24">
      <c r="A20" s="250" t="s">
        <v>1107</v>
      </c>
      <c r="B20" s="254">
        <v>1709675</v>
      </c>
      <c r="C20" s="254">
        <v>12498985</v>
      </c>
      <c r="D20" s="255">
        <f>SUM(B20:C20)</f>
        <v>14208660</v>
      </c>
    </row>
    <row r="21" spans="1:12" s="12" customFormat="1" ht="12">
      <c r="A21" s="250" t="s">
        <v>1108</v>
      </c>
      <c r="B21" s="256" t="s">
        <v>160</v>
      </c>
      <c r="C21" s="256" t="s">
        <v>160</v>
      </c>
      <c r="D21" s="255">
        <f t="shared" ref="D21:D24" si="1">SUM(B21:C21)</f>
        <v>0</v>
      </c>
    </row>
    <row r="22" spans="1:12" s="12" customFormat="1" ht="12">
      <c r="A22" s="250" t="s">
        <v>1105</v>
      </c>
      <c r="B22" s="256" t="s">
        <v>160</v>
      </c>
      <c r="C22" s="256" t="s">
        <v>160</v>
      </c>
      <c r="D22" s="255">
        <f t="shared" si="1"/>
        <v>0</v>
      </c>
    </row>
    <row r="23" spans="1:12" s="12" customFormat="1" ht="12">
      <c r="A23" s="250" t="s">
        <v>1106</v>
      </c>
      <c r="B23" s="256" t="s">
        <v>160</v>
      </c>
      <c r="C23" s="256" t="s">
        <v>160</v>
      </c>
      <c r="D23" s="255">
        <f t="shared" si="1"/>
        <v>0</v>
      </c>
    </row>
    <row r="24" spans="1:12" s="12" customFormat="1" ht="12">
      <c r="A24" s="250" t="s">
        <v>1109</v>
      </c>
      <c r="B24" s="257">
        <v>0</v>
      </c>
      <c r="C24" s="257">
        <v>0</v>
      </c>
      <c r="D24" s="255">
        <f t="shared" si="1"/>
        <v>0</v>
      </c>
    </row>
    <row r="25" spans="1:12" ht="30" customHeight="1">
      <c r="A25" s="454" t="s">
        <v>1110</v>
      </c>
      <c r="B25" s="454"/>
      <c r="C25" s="454"/>
      <c r="D25" s="454"/>
      <c r="E25" s="47"/>
      <c r="F25" s="47"/>
    </row>
    <row r="28" spans="1:12" ht="20.25" thickBot="1">
      <c r="A28" s="364" t="s">
        <v>1111</v>
      </c>
      <c r="B28" s="365"/>
      <c r="C28" s="365"/>
      <c r="D28" s="365"/>
      <c r="E28" s="365"/>
      <c r="F28" s="365"/>
      <c r="G28" s="365"/>
      <c r="H28" s="365"/>
      <c r="I28" s="365"/>
      <c r="J28" s="365"/>
      <c r="K28" s="365"/>
      <c r="L28" s="365"/>
    </row>
    <row r="29" spans="1:12">
      <c r="A29" s="249" t="s">
        <v>161</v>
      </c>
    </row>
    <row r="31" spans="1:12">
      <c r="A31" s="70" t="s">
        <v>1112</v>
      </c>
      <c r="B31" s="70" t="s">
        <v>263</v>
      </c>
      <c r="C31" s="70" t="s">
        <v>325</v>
      </c>
      <c r="D31" s="70" t="s">
        <v>1113</v>
      </c>
    </row>
    <row r="32" spans="1:12">
      <c r="A32" s="61" t="s">
        <v>1114</v>
      </c>
      <c r="B32" s="344">
        <f>D42+D58</f>
        <v>619.66</v>
      </c>
      <c r="C32" s="258">
        <f>D42</f>
        <v>95.16</v>
      </c>
      <c r="D32" s="258">
        <f>D58</f>
        <v>524.5</v>
      </c>
    </row>
    <row r="33" spans="1:12">
      <c r="A33" s="61" t="s">
        <v>1115</v>
      </c>
      <c r="B33" s="258">
        <f>D46+D63</f>
        <v>634.88</v>
      </c>
      <c r="C33" s="258">
        <f>D46</f>
        <v>370.28</v>
      </c>
      <c r="D33" s="344">
        <f>D63</f>
        <v>264.60000000000002</v>
      </c>
    </row>
    <row r="34" spans="1:12">
      <c r="A34" s="61" t="s">
        <v>77</v>
      </c>
      <c r="B34" s="258">
        <f>SUBTOTAL(109,Tabla14[Residuos generados])</f>
        <v>1254.54</v>
      </c>
      <c r="C34" s="258">
        <f>SUBTOTAL(109,Tabla14[Residuos no destinados a eliminación])</f>
        <v>465.43999999999994</v>
      </c>
      <c r="D34" s="258">
        <f>SUBTOTAL(109,Tabla14[Residuos destinados a  eliminación])</f>
        <v>789.1</v>
      </c>
    </row>
    <row r="35" spans="1:12" ht="24" customHeight="1">
      <c r="A35" s="380" t="s">
        <v>1116</v>
      </c>
      <c r="B35" s="380"/>
      <c r="C35" s="380"/>
      <c r="D35" s="380"/>
      <c r="E35" s="47"/>
      <c r="F35" s="47"/>
    </row>
    <row r="36" spans="1:12">
      <c r="A36" s="259"/>
      <c r="B36" s="259"/>
      <c r="C36" s="259"/>
      <c r="D36" s="259"/>
      <c r="E36" s="259"/>
      <c r="F36" s="259"/>
    </row>
    <row r="38" spans="1:12" ht="20.25" thickBot="1">
      <c r="A38" s="364" t="s">
        <v>326</v>
      </c>
      <c r="B38" s="365"/>
      <c r="C38" s="365"/>
      <c r="D38" s="365"/>
      <c r="E38" s="365"/>
      <c r="F38" s="365"/>
      <c r="G38" s="365"/>
      <c r="H38" s="365"/>
      <c r="I38" s="365"/>
      <c r="J38" s="365"/>
      <c r="K38" s="365"/>
      <c r="L38" s="365"/>
    </row>
    <row r="39" spans="1:12" s="15" customFormat="1">
      <c r="A39" s="15" t="s">
        <v>162</v>
      </c>
    </row>
    <row r="41" spans="1:12" s="64" customFormat="1">
      <c r="A41" s="60" t="s">
        <v>1117</v>
      </c>
      <c r="B41" s="96" t="s">
        <v>1123</v>
      </c>
      <c r="C41" s="96" t="s">
        <v>1124</v>
      </c>
      <c r="D41" s="96" t="s">
        <v>77</v>
      </c>
    </row>
    <row r="42" spans="1:12">
      <c r="A42" s="286" t="s">
        <v>190</v>
      </c>
      <c r="B42" s="286"/>
      <c r="C42" s="286"/>
      <c r="D42" s="287">
        <f>SUM(D43:D45)</f>
        <v>95.16</v>
      </c>
    </row>
    <row r="43" spans="1:12">
      <c r="A43" s="288" t="s">
        <v>1118</v>
      </c>
      <c r="B43" s="289">
        <v>0</v>
      </c>
      <c r="C43" s="289">
        <v>0</v>
      </c>
      <c r="D43" s="258">
        <v>0</v>
      </c>
    </row>
    <row r="44" spans="1:12">
      <c r="A44" s="288" t="s">
        <v>1119</v>
      </c>
      <c r="B44" s="289">
        <v>0</v>
      </c>
      <c r="C44" s="258">
        <v>95.16</v>
      </c>
      <c r="D44" s="258">
        <f>Tabla15[[#This Row],[En el sitio]]+Tabla15[[#This Row],[Fuera del sitio]]</f>
        <v>95.16</v>
      </c>
    </row>
    <row r="45" spans="1:12">
      <c r="A45" s="288" t="s">
        <v>1120</v>
      </c>
      <c r="B45" s="289">
        <v>0</v>
      </c>
      <c r="C45" s="289">
        <v>0</v>
      </c>
      <c r="D45" s="258">
        <v>0</v>
      </c>
    </row>
    <row r="46" spans="1:12" ht="14.25" customHeight="1">
      <c r="A46" s="286" t="s">
        <v>1121</v>
      </c>
      <c r="B46" s="286"/>
      <c r="C46" s="286"/>
      <c r="D46" s="287">
        <f>SUM(D47:D49)</f>
        <v>370.28</v>
      </c>
    </row>
    <row r="47" spans="1:12">
      <c r="A47" s="288" t="s">
        <v>1118</v>
      </c>
      <c r="B47" s="289">
        <v>0</v>
      </c>
      <c r="C47" s="289">
        <v>0</v>
      </c>
      <c r="D47" s="258">
        <f>SUM(Tabla15[[#This Row],[En el sitio]:[Fuera del sitio]])</f>
        <v>0</v>
      </c>
    </row>
    <row r="48" spans="1:12">
      <c r="A48" s="288" t="s">
        <v>1119</v>
      </c>
      <c r="B48" s="289">
        <v>0</v>
      </c>
      <c r="C48" s="258">
        <v>370.28</v>
      </c>
      <c r="D48" s="258">
        <f>SUM(Tabla15[[#This Row],[En el sitio]:[Fuera del sitio]])</f>
        <v>370.28</v>
      </c>
    </row>
    <row r="49" spans="1:12">
      <c r="A49" s="288" t="s">
        <v>1120</v>
      </c>
      <c r="B49" s="289">
        <v>0</v>
      </c>
      <c r="C49" s="289">
        <v>0</v>
      </c>
      <c r="D49" s="258">
        <f>SUM(Tabla15[[#This Row],[En el sitio]:[Fuera del sitio]])</f>
        <v>0</v>
      </c>
    </row>
    <row r="50" spans="1:12">
      <c r="A50" s="286" t="s">
        <v>1122</v>
      </c>
      <c r="B50" s="286"/>
      <c r="C50" s="286"/>
      <c r="D50" s="290">
        <f>D42+D46</f>
        <v>465.43999999999994</v>
      </c>
    </row>
    <row r="51" spans="1:12" ht="24" customHeight="1">
      <c r="A51" s="380" t="s">
        <v>1116</v>
      </c>
      <c r="B51" s="380"/>
      <c r="C51" s="380"/>
      <c r="D51" s="380"/>
      <c r="E51" s="47"/>
      <c r="F51" s="47"/>
    </row>
    <row r="54" spans="1:12" ht="20.25" thickBot="1">
      <c r="A54" s="364" t="s">
        <v>327</v>
      </c>
      <c r="B54" s="365"/>
      <c r="C54" s="365"/>
      <c r="D54" s="365"/>
      <c r="E54" s="365"/>
      <c r="F54" s="365"/>
      <c r="G54" s="365"/>
      <c r="H54" s="365"/>
      <c r="I54" s="365"/>
      <c r="J54" s="365"/>
      <c r="K54" s="365"/>
      <c r="L54" s="365"/>
    </row>
    <row r="55" spans="1:12" s="15" customFormat="1">
      <c r="A55" s="15" t="s">
        <v>163</v>
      </c>
    </row>
    <row r="57" spans="1:12">
      <c r="A57" s="70" t="s">
        <v>1131</v>
      </c>
      <c r="B57" s="96" t="s">
        <v>1123</v>
      </c>
      <c r="C57" s="96" t="s">
        <v>1124</v>
      </c>
      <c r="D57" s="96" t="s">
        <v>77</v>
      </c>
    </row>
    <row r="58" spans="1:12">
      <c r="A58" s="286" t="s">
        <v>1125</v>
      </c>
      <c r="B58" s="286"/>
      <c r="C58" s="286"/>
      <c r="D58" s="290">
        <f>D59+D60+D61+D62</f>
        <v>524.5</v>
      </c>
    </row>
    <row r="59" spans="1:12">
      <c r="A59" s="288" t="s">
        <v>1126</v>
      </c>
      <c r="B59" s="258">
        <v>0</v>
      </c>
      <c r="C59" s="258">
        <v>0</v>
      </c>
      <c r="D59" s="341">
        <f>SUM(Tabla16[[#This Row],[En el sitio]:[Fuera del sitio]])</f>
        <v>0</v>
      </c>
    </row>
    <row r="60" spans="1:12">
      <c r="A60" s="288" t="s">
        <v>1130</v>
      </c>
      <c r="B60" s="258">
        <v>0</v>
      </c>
      <c r="C60" s="258">
        <v>0</v>
      </c>
      <c r="D60" s="341">
        <f>SUM(Tabla16[[#This Row],[En el sitio]:[Fuera del sitio]])</f>
        <v>0</v>
      </c>
    </row>
    <row r="61" spans="1:12">
      <c r="A61" s="288" t="s">
        <v>1127</v>
      </c>
      <c r="B61" s="258">
        <v>0</v>
      </c>
      <c r="C61" s="258">
        <v>0</v>
      </c>
      <c r="D61" s="341">
        <f>SUM(Tabla16[[#This Row],[En el sitio]:[Fuera del sitio]])</f>
        <v>0</v>
      </c>
    </row>
    <row r="62" spans="1:12">
      <c r="A62" s="288" t="s">
        <v>1128</v>
      </c>
      <c r="B62" s="258">
        <v>0</v>
      </c>
      <c r="C62" s="258">
        <v>524.5</v>
      </c>
      <c r="D62" s="341">
        <f>Tabla16[[#This Row],[Fuera del sitio]]</f>
        <v>524.5</v>
      </c>
    </row>
    <row r="63" spans="1:12">
      <c r="A63" s="286" t="s">
        <v>1129</v>
      </c>
      <c r="B63" s="342"/>
      <c r="C63" s="342"/>
      <c r="D63" s="343">
        <f>SUM(D64:D67)</f>
        <v>264.60000000000002</v>
      </c>
    </row>
    <row r="64" spans="1:12">
      <c r="A64" s="288" t="s">
        <v>1126</v>
      </c>
      <c r="B64" s="258">
        <v>0</v>
      </c>
      <c r="C64" s="258">
        <v>0</v>
      </c>
      <c r="D64" s="341">
        <f>SUM(Tabla16[[#This Row],[En el sitio]:[Fuera del sitio]])</f>
        <v>0</v>
      </c>
    </row>
    <row r="65" spans="1:12">
      <c r="A65" s="288" t="s">
        <v>1130</v>
      </c>
      <c r="B65" s="258">
        <v>0</v>
      </c>
      <c r="C65" s="258">
        <v>0</v>
      </c>
      <c r="D65" s="341">
        <f>SUM(Tabla16[[#This Row],[En el sitio]:[Fuera del sitio]])</f>
        <v>0</v>
      </c>
    </row>
    <row r="66" spans="1:12">
      <c r="A66" s="288" t="s">
        <v>1127</v>
      </c>
      <c r="B66" s="258">
        <v>264.60000000000002</v>
      </c>
      <c r="C66" s="258">
        <v>0</v>
      </c>
      <c r="D66" s="341">
        <f>SUM(Tabla16[[#This Row],[En el sitio]:[Fuera del sitio]])</f>
        <v>264.60000000000002</v>
      </c>
    </row>
    <row r="67" spans="1:12">
      <c r="A67" s="288" t="s">
        <v>1128</v>
      </c>
      <c r="B67" s="258">
        <v>0</v>
      </c>
      <c r="C67" s="258">
        <v>0</v>
      </c>
      <c r="D67" s="341">
        <f>SUM(Tabla16[[#This Row],[En el sitio]:[Fuera del sitio]])</f>
        <v>0</v>
      </c>
    </row>
    <row r="68" spans="1:12">
      <c r="A68" s="354" t="s">
        <v>77</v>
      </c>
      <c r="B68" s="355"/>
      <c r="C68" s="355"/>
      <c r="D68" s="341">
        <f>D58+D63</f>
        <v>789.1</v>
      </c>
    </row>
    <row r="69" spans="1:12" ht="24" customHeight="1">
      <c r="A69" s="380" t="s">
        <v>1116</v>
      </c>
      <c r="B69" s="380"/>
      <c r="C69" s="380"/>
      <c r="D69" s="380"/>
      <c r="E69" s="47"/>
      <c r="F69" s="47"/>
    </row>
    <row r="71" spans="1:12">
      <c r="D71" s="260"/>
    </row>
    <row r="72" spans="1:12" s="71" customFormat="1" ht="30" customHeight="1" thickBot="1">
      <c r="A72" s="364" t="s">
        <v>1132</v>
      </c>
      <c r="B72" s="365"/>
      <c r="C72" s="365"/>
      <c r="D72" s="365"/>
      <c r="E72" s="365"/>
      <c r="F72" s="365"/>
      <c r="G72" s="365"/>
      <c r="H72" s="365"/>
      <c r="I72" s="365"/>
      <c r="J72" s="365"/>
      <c r="K72" s="365"/>
      <c r="L72" s="365"/>
    </row>
    <row r="73" spans="1:12" s="15" customFormat="1">
      <c r="A73" s="15" t="s">
        <v>164</v>
      </c>
    </row>
    <row r="75" spans="1:12" s="64" customFormat="1">
      <c r="A75" s="95" t="s">
        <v>1133</v>
      </c>
      <c r="B75" s="95" t="s">
        <v>1134</v>
      </c>
      <c r="C75" s="95" t="s">
        <v>609</v>
      </c>
      <c r="D75" s="60" t="s">
        <v>1135</v>
      </c>
      <c r="E75" s="60" t="s">
        <v>1136</v>
      </c>
      <c r="F75" s="95" t="s">
        <v>1137</v>
      </c>
    </row>
    <row r="76" spans="1:12" s="248" customFormat="1">
      <c r="A76" s="299">
        <v>340</v>
      </c>
      <c r="B76" s="299">
        <v>0</v>
      </c>
      <c r="C76" s="299">
        <v>95.16</v>
      </c>
      <c r="D76" s="299">
        <v>26.85</v>
      </c>
      <c r="E76" s="299">
        <v>9.56</v>
      </c>
      <c r="F76" s="299">
        <v>788.43</v>
      </c>
    </row>
    <row r="77" spans="1:12" ht="24" customHeight="1">
      <c r="A77" s="380" t="s">
        <v>1116</v>
      </c>
      <c r="B77" s="380"/>
      <c r="C77" s="380"/>
      <c r="D77" s="380"/>
      <c r="E77" s="47"/>
      <c r="F77" s="47"/>
    </row>
    <row r="80" spans="1:12" s="71" customFormat="1" ht="30" customHeight="1" thickBot="1">
      <c r="A80" s="364" t="s">
        <v>1140</v>
      </c>
      <c r="B80" s="365"/>
      <c r="C80" s="365"/>
      <c r="D80" s="365"/>
      <c r="E80" s="365"/>
      <c r="F80" s="365"/>
      <c r="G80" s="365"/>
      <c r="H80" s="365"/>
      <c r="I80" s="365"/>
      <c r="J80" s="365"/>
      <c r="K80" s="365"/>
      <c r="L80" s="365"/>
    </row>
    <row r="81" spans="1:12" s="15" customFormat="1">
      <c r="A81" s="15" t="s">
        <v>165</v>
      </c>
    </row>
    <row r="82" spans="1:12" s="71" customFormat="1" ht="19.5">
      <c r="A82" s="261"/>
      <c r="B82" s="262"/>
      <c r="C82" s="262"/>
      <c r="D82" s="262"/>
      <c r="E82" s="262"/>
      <c r="F82" s="262"/>
      <c r="G82" s="262"/>
      <c r="H82" s="262"/>
      <c r="I82" s="262"/>
      <c r="J82" s="262"/>
      <c r="K82" s="262"/>
      <c r="L82" s="262"/>
    </row>
    <row r="83" spans="1:12" s="64" customFormat="1" ht="42" customHeight="1">
      <c r="A83" s="96" t="s">
        <v>1138</v>
      </c>
      <c r="B83" s="96" t="s">
        <v>1139</v>
      </c>
      <c r="C83" s="96" t="s">
        <v>1147</v>
      </c>
      <c r="D83" s="96" t="s">
        <v>1148</v>
      </c>
      <c r="E83" s="96" t="s">
        <v>1151</v>
      </c>
      <c r="F83" s="96" t="s">
        <v>1152</v>
      </c>
      <c r="G83" s="96" t="s">
        <v>1153</v>
      </c>
      <c r="H83" s="96" t="s">
        <v>1154</v>
      </c>
      <c r="I83" s="96" t="s">
        <v>1156</v>
      </c>
      <c r="J83" s="96" t="s">
        <v>1158</v>
      </c>
      <c r="K83" s="96" t="s">
        <v>1159</v>
      </c>
      <c r="L83" s="96" t="s">
        <v>1160</v>
      </c>
    </row>
    <row r="84" spans="1:12">
      <c r="A84" s="28" t="s">
        <v>166</v>
      </c>
      <c r="B84" s="28" t="s">
        <v>167</v>
      </c>
      <c r="C84" s="28" t="s">
        <v>1149</v>
      </c>
      <c r="D84" s="28" t="s">
        <v>1150</v>
      </c>
      <c r="E84" s="28" t="s">
        <v>191</v>
      </c>
      <c r="F84" s="73" t="s">
        <v>168</v>
      </c>
      <c r="G84" s="73" t="s">
        <v>169</v>
      </c>
      <c r="H84" s="28" t="s">
        <v>1155</v>
      </c>
      <c r="I84" s="293">
        <v>44501</v>
      </c>
      <c r="J84" s="28" t="s">
        <v>82</v>
      </c>
      <c r="K84" s="28" t="s">
        <v>82</v>
      </c>
      <c r="L84" s="28" t="s">
        <v>521</v>
      </c>
    </row>
    <row r="85" spans="1:12">
      <c r="A85" s="28" t="s">
        <v>1141</v>
      </c>
      <c r="B85" s="28" t="s">
        <v>170</v>
      </c>
      <c r="C85" s="28" t="s">
        <v>1149</v>
      </c>
      <c r="D85" s="28" t="s">
        <v>1150</v>
      </c>
      <c r="E85" s="28" t="s">
        <v>191</v>
      </c>
      <c r="F85" s="134">
        <v>4500000</v>
      </c>
      <c r="G85" s="134">
        <v>3408245</v>
      </c>
      <c r="H85" s="28" t="s">
        <v>1155</v>
      </c>
      <c r="I85" s="293" t="s">
        <v>1157</v>
      </c>
      <c r="J85" s="28" t="s">
        <v>82</v>
      </c>
      <c r="K85" s="28" t="s">
        <v>82</v>
      </c>
      <c r="L85" s="28" t="s">
        <v>1161</v>
      </c>
    </row>
    <row r="86" spans="1:12">
      <c r="A86" s="28"/>
      <c r="B86" s="28"/>
      <c r="C86" s="28"/>
      <c r="D86" s="28"/>
      <c r="E86" s="28"/>
      <c r="F86" s="356"/>
      <c r="G86" s="356"/>
      <c r="H86" s="28"/>
      <c r="I86" s="293"/>
      <c r="J86" s="28"/>
      <c r="K86" s="28"/>
      <c r="L86" s="28"/>
    </row>
    <row r="87" spans="1:12">
      <c r="A87" s="28"/>
      <c r="B87" s="28"/>
      <c r="C87" s="28"/>
      <c r="D87" s="28"/>
      <c r="E87" s="28"/>
      <c r="F87" s="356"/>
      <c r="G87" s="356"/>
      <c r="H87" s="28"/>
      <c r="I87" s="293"/>
      <c r="J87" s="28"/>
      <c r="K87" s="28"/>
      <c r="L87" s="28"/>
    </row>
    <row r="88" spans="1:12" s="71" customFormat="1" ht="30" customHeight="1">
      <c r="A88" s="28"/>
      <c r="B88" s="28"/>
      <c r="C88" s="28"/>
      <c r="D88" s="28"/>
      <c r="E88" s="28"/>
      <c r="F88" s="356"/>
      <c r="G88" s="356"/>
      <c r="H88" s="28"/>
      <c r="I88" s="293"/>
      <c r="J88" s="28"/>
      <c r="K88" s="28"/>
      <c r="L88" s="28"/>
    </row>
    <row r="89" spans="1:12" s="15" customFormat="1" ht="20.25" thickBot="1">
      <c r="A89" s="364" t="s">
        <v>1142</v>
      </c>
      <c r="B89" s="365"/>
      <c r="C89" s="365"/>
      <c r="D89" s="365"/>
      <c r="E89" s="365"/>
      <c r="F89" s="365"/>
      <c r="G89" s="365"/>
      <c r="H89" s="365"/>
      <c r="I89" s="365"/>
      <c r="J89" s="365"/>
      <c r="K89" s="365"/>
      <c r="L89" s="365"/>
    </row>
    <row r="90" spans="1:12">
      <c r="A90" s="15" t="s">
        <v>171</v>
      </c>
      <c r="B90" s="15"/>
      <c r="C90" s="15"/>
      <c r="D90" s="15"/>
      <c r="E90" s="15"/>
      <c r="F90" s="15"/>
      <c r="G90" s="15"/>
      <c r="H90" s="15"/>
      <c r="I90" s="15"/>
      <c r="J90" s="15"/>
      <c r="K90" s="15"/>
      <c r="L90" s="15"/>
    </row>
    <row r="91" spans="1:12" ht="21" customHeight="1"/>
    <row r="92" spans="1:12" s="12" customFormat="1" ht="24">
      <c r="A92" s="54" t="s">
        <v>681</v>
      </c>
      <c r="B92" s="54" t="s">
        <v>1144</v>
      </c>
      <c r="C92" s="54" t="s">
        <v>1143</v>
      </c>
      <c r="D92" s="54" t="s">
        <v>1145</v>
      </c>
      <c r="E92" s="54" t="s">
        <v>1146</v>
      </c>
      <c r="F92" s="10"/>
      <c r="G92" s="10"/>
      <c r="H92" s="10"/>
      <c r="I92" s="10"/>
      <c r="J92" s="10"/>
      <c r="K92" s="10"/>
      <c r="L92" s="10"/>
    </row>
    <row r="93" spans="1:12" s="12" customFormat="1" ht="12">
      <c r="A93" s="28" t="s">
        <v>189</v>
      </c>
      <c r="B93" s="75">
        <v>0</v>
      </c>
      <c r="C93" s="75">
        <v>0</v>
      </c>
      <c r="D93" s="75">
        <v>3</v>
      </c>
      <c r="E93" s="75">
        <v>3</v>
      </c>
    </row>
    <row r="94" spans="1:12" s="12" customFormat="1" ht="12">
      <c r="A94" s="61" t="s">
        <v>386</v>
      </c>
      <c r="B94" s="75">
        <v>0</v>
      </c>
      <c r="C94" s="75">
        <v>0</v>
      </c>
      <c r="D94" s="75">
        <v>1</v>
      </c>
      <c r="E94" s="75">
        <v>1</v>
      </c>
    </row>
    <row r="95" spans="1:12">
      <c r="A95" s="291" t="s">
        <v>77</v>
      </c>
      <c r="B95" s="292">
        <f>SUBTOTAL(109,Tabla19[ '# PDC con potencial de riesgo alto])</f>
        <v>0</v>
      </c>
      <c r="C95" s="292">
        <f>SUBTOTAL(109,Tabla19['# PDC con potencial de riesgo significativo])</f>
        <v>0</v>
      </c>
      <c r="D95" s="292">
        <f>SUBTOTAL(109,Tabla19['# PDC con potencial de riesgo bajo])</f>
        <v>4</v>
      </c>
      <c r="E95" s="292">
        <f>SUBTOTAL(109,Tabla19[Total de embalses de relaves])</f>
        <v>4</v>
      </c>
      <c r="F95" s="12"/>
      <c r="G95" s="12"/>
      <c r="H95" s="12"/>
      <c r="I95" s="12"/>
      <c r="J95" s="12"/>
      <c r="K95" s="12"/>
      <c r="L95" s="12"/>
    </row>
  </sheetData>
  <mergeCells count="15">
    <mergeCell ref="A89:L89"/>
    <mergeCell ref="A28:L28"/>
    <mergeCell ref="A38:L38"/>
    <mergeCell ref="A54:L54"/>
    <mergeCell ref="A35:D35"/>
    <mergeCell ref="A51:D51"/>
    <mergeCell ref="A69:D69"/>
    <mergeCell ref="A77:D77"/>
    <mergeCell ref="A72:L72"/>
    <mergeCell ref="A1:L1"/>
    <mergeCell ref="A9:L9"/>
    <mergeCell ref="A13:D13"/>
    <mergeCell ref="A19:D19"/>
    <mergeCell ref="A80:L80"/>
    <mergeCell ref="A25:D25"/>
  </mergeCells>
  <pageMargins left="0.7" right="0.7" top="0.75" bottom="0.75" header="0.3" footer="0.3"/>
  <drawing r:id="rId1"/>
  <tableParts count="7">
    <tablePart r:id="rId2"/>
    <tablePart r:id="rId3"/>
    <tablePart r:id="rId4"/>
    <tablePart r:id="rId5"/>
    <tablePart r:id="rId6"/>
    <tablePart r:id="rId7"/>
    <tablePart r:id="rId8"/>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802F-62E5-4E6A-8F2E-537551FA01E5}">
  <dimension ref="A1:N74"/>
  <sheetViews>
    <sheetView showGridLines="0" zoomScale="90" zoomScaleNormal="90" workbookViewId="0">
      <selection activeCell="F83" sqref="F83"/>
    </sheetView>
  </sheetViews>
  <sheetFormatPr defaultColWidth="11.42578125" defaultRowHeight="15"/>
  <cols>
    <col min="1" max="1" width="54.42578125" customWidth="1"/>
    <col min="2" max="2" width="17.140625" bestFit="1" customWidth="1"/>
    <col min="3" max="3" width="27.85546875" customWidth="1"/>
    <col min="4" max="4" width="19.140625" bestFit="1" customWidth="1"/>
    <col min="5" max="5" width="20.85546875" bestFit="1" customWidth="1"/>
    <col min="6" max="6" width="25" bestFit="1" customWidth="1"/>
    <col min="7" max="7" width="18" customWidth="1"/>
    <col min="8" max="8" width="24.140625" customWidth="1"/>
    <col min="9" max="9" width="27.140625" customWidth="1"/>
    <col min="10" max="10" width="25" customWidth="1"/>
  </cols>
  <sheetData>
    <row r="1" spans="1:12" s="1" customFormat="1" ht="30" customHeight="1" thickBot="1">
      <c r="A1" s="364" t="s">
        <v>198</v>
      </c>
      <c r="B1" s="365"/>
      <c r="C1" s="365"/>
      <c r="D1" s="365"/>
      <c r="E1" s="365"/>
      <c r="F1" s="365"/>
      <c r="G1" s="365"/>
      <c r="H1" s="365"/>
      <c r="I1" s="365"/>
      <c r="J1" s="365"/>
      <c r="K1" s="365"/>
      <c r="L1" s="365"/>
    </row>
    <row r="3" spans="1:12" s="8" customFormat="1">
      <c r="A3" s="337" t="s">
        <v>525</v>
      </c>
      <c r="B3" s="338" t="s">
        <v>1162</v>
      </c>
      <c r="C3" s="338" t="s">
        <v>1163</v>
      </c>
      <c r="D3" s="338" t="s">
        <v>1164</v>
      </c>
      <c r="E3" s="339" t="s">
        <v>1165</v>
      </c>
      <c r="F3" s="339" t="s">
        <v>1166</v>
      </c>
      <c r="G3" s="339" t="s">
        <v>1167</v>
      </c>
      <c r="H3" s="340" t="s">
        <v>1171</v>
      </c>
    </row>
    <row r="4" spans="1:12" s="4" customFormat="1" ht="46.5" customHeight="1">
      <c r="A4" s="458" t="s">
        <v>195</v>
      </c>
      <c r="B4" s="89" t="s">
        <v>1168</v>
      </c>
      <c r="C4" s="94" t="s">
        <v>1170</v>
      </c>
      <c r="D4" s="89" t="s">
        <v>172</v>
      </c>
      <c r="E4" s="89" t="s">
        <v>82</v>
      </c>
      <c r="F4" s="94" t="s">
        <v>1175</v>
      </c>
      <c r="G4" s="89" t="s">
        <v>82</v>
      </c>
      <c r="H4" s="283" t="s">
        <v>1176</v>
      </c>
    </row>
    <row r="5" spans="1:12" s="4" customFormat="1" ht="24">
      <c r="A5" s="458"/>
      <c r="B5" s="89" t="s">
        <v>825</v>
      </c>
      <c r="C5" s="94" t="s">
        <v>1172</v>
      </c>
      <c r="D5" s="89" t="s">
        <v>172</v>
      </c>
      <c r="E5" s="89" t="s">
        <v>82</v>
      </c>
      <c r="F5" s="336" t="s">
        <v>82</v>
      </c>
      <c r="G5" s="89" t="s">
        <v>82</v>
      </c>
      <c r="H5" s="90" t="s">
        <v>82</v>
      </c>
    </row>
    <row r="6" spans="1:12" s="4" customFormat="1" ht="52.5" customHeight="1">
      <c r="A6" s="88" t="s">
        <v>189</v>
      </c>
      <c r="B6" s="89" t="s">
        <v>1169</v>
      </c>
      <c r="C6" s="89" t="s">
        <v>1173</v>
      </c>
      <c r="D6" s="89" t="s">
        <v>172</v>
      </c>
      <c r="E6" s="89" t="s">
        <v>82</v>
      </c>
      <c r="F6" s="94" t="s">
        <v>1174</v>
      </c>
      <c r="G6" s="89" t="s">
        <v>82</v>
      </c>
      <c r="H6" s="283" t="s">
        <v>1177</v>
      </c>
    </row>
    <row r="7" spans="1:12" ht="52.5" customHeight="1">
      <c r="A7" s="370" t="s">
        <v>1178</v>
      </c>
      <c r="B7" s="446"/>
      <c r="C7" s="446"/>
      <c r="D7" s="446"/>
      <c r="E7" s="446"/>
      <c r="F7" s="446"/>
      <c r="G7" s="446"/>
      <c r="H7" s="446"/>
    </row>
    <row r="10" spans="1:12" s="1" customFormat="1" ht="30" customHeight="1" thickBot="1">
      <c r="A10" s="364" t="s">
        <v>328</v>
      </c>
      <c r="B10" s="365"/>
      <c r="C10" s="365"/>
      <c r="D10" s="365"/>
      <c r="E10" s="365"/>
      <c r="F10" s="365"/>
      <c r="G10" s="365"/>
      <c r="H10" s="365"/>
      <c r="I10" s="365"/>
      <c r="J10" s="365"/>
      <c r="K10" s="365"/>
      <c r="L10" s="365"/>
    </row>
    <row r="11" spans="1:12" s="6" customFormat="1">
      <c r="A11" s="6" t="s">
        <v>173</v>
      </c>
    </row>
    <row r="13" spans="1:12" s="2" customFormat="1" ht="15" customHeight="1">
      <c r="A13" s="307"/>
      <c r="B13" s="456">
        <v>2020</v>
      </c>
      <c r="C13" s="456"/>
      <c r="D13" s="456"/>
      <c r="E13" s="457">
        <v>2021</v>
      </c>
      <c r="F13" s="457"/>
      <c r="G13" s="457"/>
      <c r="H13" s="457"/>
      <c r="I13" s="455" t="s">
        <v>1179</v>
      </c>
    </row>
    <row r="14" spans="1:12" s="9" customFormat="1" ht="24">
      <c r="A14" s="312"/>
      <c r="B14" s="309" t="s">
        <v>189</v>
      </c>
      <c r="C14" s="309" t="s">
        <v>195</v>
      </c>
      <c r="D14" s="309" t="s">
        <v>77</v>
      </c>
      <c r="E14" s="309" t="s">
        <v>189</v>
      </c>
      <c r="F14" s="309" t="s">
        <v>195</v>
      </c>
      <c r="G14" s="309" t="s">
        <v>655</v>
      </c>
      <c r="H14" s="309" t="s">
        <v>77</v>
      </c>
      <c r="I14" s="455"/>
    </row>
    <row r="15" spans="1:12" s="2" customFormat="1" ht="12.75" customHeight="1">
      <c r="A15" s="313" t="s">
        <v>1180</v>
      </c>
      <c r="B15" s="314"/>
      <c r="C15" s="314"/>
      <c r="D15" s="314"/>
      <c r="E15" s="314"/>
      <c r="F15" s="314"/>
      <c r="G15" s="314"/>
      <c r="H15" s="314"/>
      <c r="I15" s="315"/>
    </row>
    <row r="16" spans="1:12" s="282" customFormat="1" ht="12">
      <c r="A16" s="316" t="s">
        <v>1181</v>
      </c>
      <c r="B16" s="317">
        <v>1309.67</v>
      </c>
      <c r="C16" s="317">
        <v>1892.26</v>
      </c>
      <c r="D16" s="317">
        <f>SUM(B16:C16)</f>
        <v>3201.9300000000003</v>
      </c>
      <c r="E16" s="318">
        <f>SUM(E17:E18)</f>
        <v>1717.7190000000001</v>
      </c>
      <c r="F16" s="318">
        <f>SUM(F17:F18)</f>
        <v>2319.8900000000003</v>
      </c>
      <c r="G16" s="318">
        <f>SUM(G17:G18)</f>
        <v>8.01</v>
      </c>
      <c r="H16" s="318">
        <f>SUM(E16:G16)</f>
        <v>4045.6190000000006</v>
      </c>
      <c r="I16" s="319">
        <v>0</v>
      </c>
    </row>
    <row r="17" spans="1:9" s="5" customFormat="1" ht="12">
      <c r="A17" s="285" t="s">
        <v>1182</v>
      </c>
      <c r="B17" s="320">
        <v>1309.67</v>
      </c>
      <c r="C17" s="320">
        <v>1892.26</v>
      </c>
      <c r="D17" s="321">
        <f>SUM(C17:C17)</f>
        <v>1892.26</v>
      </c>
      <c r="E17" s="322">
        <v>1717.7190000000001</v>
      </c>
      <c r="F17" s="322">
        <f>2314.88+5.01</f>
        <v>2319.8900000000003</v>
      </c>
      <c r="G17" s="322">
        <v>8.01</v>
      </c>
      <c r="H17" s="323">
        <f>SUM(E17:G17)</f>
        <v>4045.6190000000006</v>
      </c>
      <c r="I17" s="324">
        <v>0</v>
      </c>
    </row>
    <row r="18" spans="1:9" s="5" customFormat="1" ht="12">
      <c r="A18" s="285" t="s">
        <v>1183</v>
      </c>
      <c r="B18" s="320">
        <v>0</v>
      </c>
      <c r="C18" s="320">
        <v>0</v>
      </c>
      <c r="D18" s="321">
        <f>SUM(C18:C18)</f>
        <v>0</v>
      </c>
      <c r="E18" s="320">
        <f t="shared" ref="E18:G18" si="0">SUM(D18:D18)</f>
        <v>0</v>
      </c>
      <c r="F18" s="320">
        <f t="shared" si="0"/>
        <v>0</v>
      </c>
      <c r="G18" s="320">
        <f t="shared" si="0"/>
        <v>0</v>
      </c>
      <c r="H18" s="323">
        <f>SUM(E18:G18)</f>
        <v>0</v>
      </c>
      <c r="I18" s="324">
        <f t="shared" ref="I18:I27" si="1">SUM(F18:H18)</f>
        <v>0</v>
      </c>
    </row>
    <row r="19" spans="1:9" s="282" customFormat="1" ht="12">
      <c r="A19" s="325" t="s">
        <v>1184</v>
      </c>
      <c r="B19" s="326">
        <v>110</v>
      </c>
      <c r="C19" s="326">
        <v>227.7</v>
      </c>
      <c r="D19" s="326">
        <f>SUM(B19:C19)</f>
        <v>337.7</v>
      </c>
      <c r="E19" s="327">
        <f>SUM(E20:E21)</f>
        <v>135.54</v>
      </c>
      <c r="F19" s="327">
        <f>SUM(F20:F21)</f>
        <v>253.63</v>
      </c>
      <c r="G19" s="327">
        <f>SUM(G20:G21)</f>
        <v>0</v>
      </c>
      <c r="H19" s="327">
        <f>SUM(E19:G19)</f>
        <v>389.16999999999996</v>
      </c>
      <c r="I19" s="328">
        <v>0</v>
      </c>
    </row>
    <row r="20" spans="1:9" s="5" customFormat="1" ht="12">
      <c r="A20" s="285" t="s">
        <v>1185</v>
      </c>
      <c r="B20" s="320">
        <v>110</v>
      </c>
      <c r="C20" s="320">
        <v>227.7</v>
      </c>
      <c r="D20" s="321">
        <f>SUM(B20:C20)</f>
        <v>337.7</v>
      </c>
      <c r="E20" s="322">
        <v>135.54</v>
      </c>
      <c r="F20" s="322">
        <v>253.63</v>
      </c>
      <c r="G20" s="322"/>
      <c r="H20" s="323">
        <f>SUM(E20:G20)</f>
        <v>389.16999999999996</v>
      </c>
      <c r="I20" s="324">
        <v>0</v>
      </c>
    </row>
    <row r="21" spans="1:9" s="5" customFormat="1" ht="12">
      <c r="A21" s="285" t="s">
        <v>1183</v>
      </c>
      <c r="B21" s="320">
        <v>0</v>
      </c>
      <c r="C21" s="320">
        <v>0</v>
      </c>
      <c r="D21" s="321">
        <f t="shared" ref="D21:G27" si="2">SUM(C21:C21)</f>
        <v>0</v>
      </c>
      <c r="E21" s="320">
        <f t="shared" si="2"/>
        <v>0</v>
      </c>
      <c r="F21" s="320">
        <f t="shared" si="2"/>
        <v>0</v>
      </c>
      <c r="G21" s="320">
        <f t="shared" si="2"/>
        <v>0</v>
      </c>
      <c r="H21" s="323">
        <f t="shared" ref="H21:H27" si="3">SUM(E21:G21)</f>
        <v>0</v>
      </c>
      <c r="I21" s="324">
        <f t="shared" si="1"/>
        <v>0</v>
      </c>
    </row>
    <row r="22" spans="1:9" s="282" customFormat="1" ht="12">
      <c r="A22" s="325" t="s">
        <v>1193</v>
      </c>
      <c r="B22" s="326">
        <v>0</v>
      </c>
      <c r="C22" s="326">
        <v>0</v>
      </c>
      <c r="D22" s="326">
        <f t="shared" si="2"/>
        <v>0</v>
      </c>
      <c r="E22" s="327">
        <f>SUM(E23:E24)</f>
        <v>0</v>
      </c>
      <c r="F22" s="327">
        <f>SUM(F23:F24)</f>
        <v>0</v>
      </c>
      <c r="G22" s="327">
        <f>SUM(G23:G24)</f>
        <v>0</v>
      </c>
      <c r="H22" s="327">
        <f t="shared" si="3"/>
        <v>0</v>
      </c>
      <c r="I22" s="328">
        <f t="shared" si="1"/>
        <v>0</v>
      </c>
    </row>
    <row r="23" spans="1:9" s="5" customFormat="1" ht="12">
      <c r="A23" s="285" t="s">
        <v>1185</v>
      </c>
      <c r="B23" s="320">
        <v>0</v>
      </c>
      <c r="C23" s="320">
        <v>0</v>
      </c>
      <c r="D23" s="321">
        <f t="shared" si="2"/>
        <v>0</v>
      </c>
      <c r="E23" s="322">
        <v>0</v>
      </c>
      <c r="F23" s="322">
        <v>0</v>
      </c>
      <c r="G23" s="322">
        <v>0</v>
      </c>
      <c r="H23" s="323">
        <f t="shared" si="3"/>
        <v>0</v>
      </c>
      <c r="I23" s="324">
        <f t="shared" si="1"/>
        <v>0</v>
      </c>
    </row>
    <row r="24" spans="1:9" s="5" customFormat="1" ht="12">
      <c r="A24" s="285" t="s">
        <v>1183</v>
      </c>
      <c r="B24" s="320">
        <v>0</v>
      </c>
      <c r="C24" s="320">
        <v>0</v>
      </c>
      <c r="D24" s="321">
        <f t="shared" si="2"/>
        <v>0</v>
      </c>
      <c r="E24" s="322">
        <v>0</v>
      </c>
      <c r="F24" s="322">
        <v>0</v>
      </c>
      <c r="G24" s="322">
        <v>0</v>
      </c>
      <c r="H24" s="323">
        <f t="shared" si="3"/>
        <v>0</v>
      </c>
      <c r="I24" s="324">
        <f t="shared" si="1"/>
        <v>0</v>
      </c>
    </row>
    <row r="25" spans="1:9" s="282" customFormat="1" ht="12">
      <c r="A25" s="325" t="s">
        <v>1186</v>
      </c>
      <c r="B25" s="326">
        <v>0</v>
      </c>
      <c r="C25" s="326">
        <v>0</v>
      </c>
      <c r="D25" s="326">
        <f t="shared" si="2"/>
        <v>0</v>
      </c>
      <c r="E25" s="327">
        <f>SUM(E26:E27)</f>
        <v>0</v>
      </c>
      <c r="F25" s="327">
        <f>SUM(F26:F27)</f>
        <v>0</v>
      </c>
      <c r="G25" s="327">
        <f>SUM(G26:G27)</f>
        <v>0</v>
      </c>
      <c r="H25" s="327">
        <f t="shared" si="3"/>
        <v>0</v>
      </c>
      <c r="I25" s="328">
        <f t="shared" si="1"/>
        <v>0</v>
      </c>
    </row>
    <row r="26" spans="1:9" s="5" customFormat="1" ht="12">
      <c r="A26" s="285" t="s">
        <v>1185</v>
      </c>
      <c r="B26" s="320">
        <v>0</v>
      </c>
      <c r="C26" s="320">
        <v>0</v>
      </c>
      <c r="D26" s="321">
        <f t="shared" si="2"/>
        <v>0</v>
      </c>
      <c r="E26" s="322">
        <v>0</v>
      </c>
      <c r="F26" s="322">
        <v>0</v>
      </c>
      <c r="G26" s="322">
        <v>0</v>
      </c>
      <c r="H26" s="323">
        <f t="shared" si="3"/>
        <v>0</v>
      </c>
      <c r="I26" s="324">
        <f t="shared" si="1"/>
        <v>0</v>
      </c>
    </row>
    <row r="27" spans="1:9" s="5" customFormat="1" ht="12">
      <c r="A27" s="285" t="s">
        <v>1183</v>
      </c>
      <c r="B27" s="320">
        <v>0</v>
      </c>
      <c r="C27" s="320">
        <v>0</v>
      </c>
      <c r="D27" s="321">
        <f t="shared" si="2"/>
        <v>0</v>
      </c>
      <c r="E27" s="322">
        <v>0</v>
      </c>
      <c r="F27" s="322">
        <v>0</v>
      </c>
      <c r="G27" s="322">
        <v>0</v>
      </c>
      <c r="H27" s="323">
        <f t="shared" si="3"/>
        <v>0</v>
      </c>
      <c r="I27" s="324">
        <f t="shared" si="1"/>
        <v>0</v>
      </c>
    </row>
    <row r="28" spans="1:9" s="2" customFormat="1" ht="12.75" customHeight="1">
      <c r="A28" s="329" t="s">
        <v>1187</v>
      </c>
      <c r="B28" s="330"/>
      <c r="C28" s="330"/>
      <c r="D28" s="330"/>
      <c r="E28" s="330"/>
      <c r="F28" s="330"/>
      <c r="G28" s="330"/>
      <c r="H28" s="330"/>
      <c r="I28" s="331"/>
    </row>
    <row r="29" spans="1:9" s="5" customFormat="1" ht="12">
      <c r="A29" s="285" t="s">
        <v>1188</v>
      </c>
      <c r="B29" s="320">
        <v>20.87</v>
      </c>
      <c r="C29" s="320">
        <v>4.21</v>
      </c>
      <c r="D29" s="321">
        <f>SUM(B29:C29)</f>
        <v>25.080000000000002</v>
      </c>
      <c r="E29" s="322">
        <v>18.559999999999999</v>
      </c>
      <c r="F29" s="322">
        <v>3.5</v>
      </c>
      <c r="G29" s="322">
        <v>1.08</v>
      </c>
      <c r="H29" s="323">
        <f>SUM(E29:G29)</f>
        <v>23.14</v>
      </c>
      <c r="I29" s="324">
        <v>0</v>
      </c>
    </row>
    <row r="30" spans="1:9" s="5" customFormat="1" ht="12">
      <c r="A30" s="285" t="s">
        <v>1189</v>
      </c>
      <c r="B30" s="320">
        <v>0</v>
      </c>
      <c r="C30" s="320">
        <v>0</v>
      </c>
      <c r="D30" s="321">
        <v>0</v>
      </c>
      <c r="E30" s="322">
        <v>0</v>
      </c>
      <c r="F30" s="322">
        <v>0</v>
      </c>
      <c r="G30" s="322">
        <v>0</v>
      </c>
      <c r="H30" s="323">
        <v>0</v>
      </c>
      <c r="I30" s="324">
        <f t="shared" ref="I30:I31" si="4">SUM(F30:H30)</f>
        <v>0</v>
      </c>
    </row>
    <row r="31" spans="1:9" s="5" customFormat="1" ht="12">
      <c r="A31" s="285" t="s">
        <v>1190</v>
      </c>
      <c r="B31" s="320">
        <v>0</v>
      </c>
      <c r="C31" s="320">
        <v>0</v>
      </c>
      <c r="D31" s="321">
        <v>0</v>
      </c>
      <c r="E31" s="322">
        <v>0</v>
      </c>
      <c r="F31" s="322">
        <v>0</v>
      </c>
      <c r="G31" s="322">
        <v>0</v>
      </c>
      <c r="H31" s="323">
        <v>0</v>
      </c>
      <c r="I31" s="324">
        <f t="shared" si="4"/>
        <v>0</v>
      </c>
    </row>
    <row r="32" spans="1:9" s="5" customFormat="1" ht="12">
      <c r="A32" s="285" t="s">
        <v>1191</v>
      </c>
      <c r="B32" s="320">
        <v>0</v>
      </c>
      <c r="C32" s="320">
        <v>0</v>
      </c>
      <c r="D32" s="321">
        <v>0</v>
      </c>
      <c r="E32" s="322">
        <v>0</v>
      </c>
      <c r="F32" s="322">
        <v>0</v>
      </c>
      <c r="G32" s="322">
        <v>0</v>
      </c>
      <c r="H32" s="323">
        <f>SUM(E32:G32)</f>
        <v>0</v>
      </c>
      <c r="I32" s="324">
        <f>SUM(F32:H32)</f>
        <v>0</v>
      </c>
    </row>
    <row r="33" spans="1:14" s="2" customFormat="1" ht="12.75" customHeight="1">
      <c r="A33" s="329" t="s">
        <v>1192</v>
      </c>
      <c r="B33" s="330"/>
      <c r="C33" s="330"/>
      <c r="D33" s="330"/>
      <c r="E33" s="330"/>
      <c r="F33" s="330"/>
      <c r="G33" s="330"/>
      <c r="H33" s="330"/>
      <c r="I33" s="331"/>
    </row>
    <row r="34" spans="1:14" s="7" customFormat="1" ht="25.5" customHeight="1">
      <c r="A34" s="332" t="s">
        <v>1194</v>
      </c>
      <c r="B34" s="333">
        <f t="shared" ref="B34:G34" si="5">SUM(B16+B19+B22+B25+B29+B30+B31+B32)</f>
        <v>1440.54</v>
      </c>
      <c r="C34" s="333">
        <f t="shared" si="5"/>
        <v>2124.17</v>
      </c>
      <c r="D34" s="334">
        <f t="shared" si="5"/>
        <v>3564.71</v>
      </c>
      <c r="E34" s="333">
        <f t="shared" si="5"/>
        <v>1871.819</v>
      </c>
      <c r="F34" s="333">
        <f t="shared" si="5"/>
        <v>2577.0200000000004</v>
      </c>
      <c r="G34" s="333">
        <f t="shared" si="5"/>
        <v>9.09</v>
      </c>
      <c r="H34" s="334">
        <f t="shared" ref="H34" si="6">SUM(H16+H19+H22+H25+H29+H30+H31+H32)</f>
        <v>4457.929000000001</v>
      </c>
      <c r="I34" s="335">
        <f>SUM(I16+I19+I22+I25+I29+I30+I31+I32)</f>
        <v>0</v>
      </c>
      <c r="J34" s="46"/>
      <c r="K34" s="46"/>
      <c r="L34" s="46"/>
      <c r="M34" s="46"/>
      <c r="N34" s="46"/>
    </row>
    <row r="35" spans="1:14" s="5" customFormat="1" ht="120.75" customHeight="1">
      <c r="A35" s="370" t="s">
        <v>1216</v>
      </c>
      <c r="B35" s="446"/>
      <c r="C35" s="446"/>
      <c r="D35" s="446"/>
      <c r="E35" s="446"/>
      <c r="F35" s="446"/>
      <c r="G35" s="446"/>
      <c r="H35" s="446"/>
      <c r="I35" s="446"/>
      <c r="J35" s="446"/>
      <c r="K35" s="446"/>
      <c r="L35" s="446"/>
      <c r="M35" s="446"/>
      <c r="N35" s="446"/>
    </row>
    <row r="36" spans="1:14">
      <c r="A36" s="3"/>
    </row>
    <row r="38" spans="1:14" s="1" customFormat="1" ht="30" customHeight="1" thickBot="1">
      <c r="A38" s="364" t="s">
        <v>329</v>
      </c>
      <c r="B38" s="365"/>
      <c r="C38" s="365"/>
      <c r="D38" s="365"/>
      <c r="E38" s="365"/>
      <c r="F38" s="365"/>
      <c r="G38" s="365"/>
      <c r="H38" s="365"/>
      <c r="I38" s="365"/>
      <c r="J38" s="365"/>
      <c r="K38" s="365"/>
      <c r="L38" s="365"/>
    </row>
    <row r="39" spans="1:14" s="6" customFormat="1">
      <c r="A39" s="6" t="s">
        <v>174</v>
      </c>
    </row>
    <row r="41" spans="1:14" s="2" customFormat="1" ht="12">
      <c r="A41" s="307"/>
      <c r="B41" s="456">
        <v>2020</v>
      </c>
      <c r="C41" s="456"/>
      <c r="D41" s="456"/>
      <c r="E41" s="457">
        <v>2021</v>
      </c>
      <c r="F41" s="457"/>
      <c r="G41" s="457"/>
      <c r="H41" s="457"/>
    </row>
    <row r="42" spans="1:14" s="9" customFormat="1" ht="24">
      <c r="A42" s="308"/>
      <c r="B42" s="309" t="s">
        <v>189</v>
      </c>
      <c r="C42" s="309" t="s">
        <v>195</v>
      </c>
      <c r="D42" s="309" t="s">
        <v>77</v>
      </c>
      <c r="E42" s="309" t="s">
        <v>189</v>
      </c>
      <c r="F42" s="309" t="s">
        <v>195</v>
      </c>
      <c r="G42" s="309" t="s">
        <v>655</v>
      </c>
      <c r="H42" s="309" t="s">
        <v>77</v>
      </c>
    </row>
    <row r="43" spans="1:14" s="2" customFormat="1" ht="12">
      <c r="A43" s="264" t="s">
        <v>193</v>
      </c>
      <c r="B43" s="310"/>
      <c r="C43" s="310"/>
      <c r="D43" s="310"/>
      <c r="E43" s="310"/>
      <c r="F43" s="310"/>
      <c r="G43" s="310"/>
      <c r="H43" s="310"/>
    </row>
    <row r="44" spans="1:14" s="2" customFormat="1" ht="12">
      <c r="A44" s="250" t="s">
        <v>1195</v>
      </c>
      <c r="B44" s="275">
        <v>264.07</v>
      </c>
      <c r="C44" s="107">
        <f>733098*0.001</f>
        <v>733.09800000000007</v>
      </c>
      <c r="D44" s="276">
        <f>SUM(B44:C44)</f>
        <v>997.16800000000012</v>
      </c>
      <c r="E44" s="277">
        <v>688.04</v>
      </c>
      <c r="F44" s="277">
        <v>1395.64</v>
      </c>
      <c r="G44" s="107">
        <v>9.1</v>
      </c>
      <c r="H44" s="276">
        <f>SUM(E44:G44)</f>
        <v>2092.7800000000002</v>
      </c>
    </row>
    <row r="45" spans="1:14" s="2" customFormat="1" ht="12">
      <c r="A45" s="250" t="s">
        <v>1196</v>
      </c>
      <c r="B45" s="275">
        <v>0</v>
      </c>
      <c r="C45" s="275">
        <v>0</v>
      </c>
      <c r="D45" s="276">
        <f t="shared" ref="D45:D48" si="7">SUM(B45:C45)</f>
        <v>0</v>
      </c>
      <c r="E45" s="277">
        <v>0</v>
      </c>
      <c r="F45" s="277">
        <v>0</v>
      </c>
      <c r="G45" s="277">
        <v>0</v>
      </c>
      <c r="H45" s="276">
        <f>SUM(E45:G45)</f>
        <v>0</v>
      </c>
    </row>
    <row r="46" spans="1:14" s="2" customFormat="1" ht="12">
      <c r="A46" s="250" t="s">
        <v>1197</v>
      </c>
      <c r="B46" s="275">
        <v>0</v>
      </c>
      <c r="C46" s="275">
        <v>0</v>
      </c>
      <c r="D46" s="276">
        <f t="shared" si="7"/>
        <v>0</v>
      </c>
      <c r="E46" s="277">
        <v>0</v>
      </c>
      <c r="F46" s="277">
        <v>0</v>
      </c>
      <c r="G46" s="277">
        <v>0</v>
      </c>
      <c r="H46" s="276">
        <f>SUM(E46:G46)</f>
        <v>0</v>
      </c>
    </row>
    <row r="47" spans="1:14" s="2" customFormat="1" ht="12">
      <c r="A47" s="250" t="s">
        <v>1198</v>
      </c>
      <c r="B47" s="275">
        <v>0</v>
      </c>
      <c r="C47" s="275">
        <v>0</v>
      </c>
      <c r="D47" s="276">
        <f t="shared" si="7"/>
        <v>0</v>
      </c>
      <c r="E47" s="277">
        <v>0</v>
      </c>
      <c r="F47" s="277">
        <v>0</v>
      </c>
      <c r="G47" s="277">
        <v>0</v>
      </c>
      <c r="H47" s="276">
        <f>SUM(E47:G47)</f>
        <v>0</v>
      </c>
    </row>
    <row r="48" spans="1:14" s="2" customFormat="1" ht="12">
      <c r="A48" s="274" t="s">
        <v>1199</v>
      </c>
      <c r="B48" s="275">
        <v>0</v>
      </c>
      <c r="C48" s="275">
        <v>0</v>
      </c>
      <c r="D48" s="276">
        <f t="shared" si="7"/>
        <v>0</v>
      </c>
      <c r="E48" s="277">
        <v>0</v>
      </c>
      <c r="F48" s="277">
        <v>0</v>
      </c>
      <c r="G48" s="277">
        <v>0</v>
      </c>
      <c r="H48" s="276">
        <f>SUM(E48:G48)</f>
        <v>0</v>
      </c>
    </row>
    <row r="49" spans="1:12" s="2" customFormat="1" ht="12">
      <c r="A49" s="273" t="s">
        <v>1200</v>
      </c>
      <c r="B49" s="278"/>
      <c r="C49" s="278"/>
      <c r="D49" s="278"/>
      <c r="E49" s="278"/>
      <c r="F49" s="278"/>
      <c r="G49" s="278"/>
      <c r="H49" s="278"/>
    </row>
    <row r="50" spans="1:12" s="2" customFormat="1" ht="24">
      <c r="A50" s="250" t="s">
        <v>1201</v>
      </c>
      <c r="B50" s="105">
        <f>SUM(B44:B47)</f>
        <v>264.07</v>
      </c>
      <c r="C50" s="105">
        <f>SUM(C44:C47)</f>
        <v>733.09800000000007</v>
      </c>
      <c r="D50" s="279">
        <f>SUM(B50:C50)</f>
        <v>997.16800000000012</v>
      </c>
      <c r="E50" s="105">
        <f t="shared" ref="E50:H50" si="8">SUM(E44:E47)</f>
        <v>688.04</v>
      </c>
      <c r="F50" s="105">
        <f>SUM(F44:F47)</f>
        <v>1395.64</v>
      </c>
      <c r="G50" s="105">
        <f>SUM(G44:G47)</f>
        <v>9.1</v>
      </c>
      <c r="H50" s="279">
        <f t="shared" si="8"/>
        <v>2092.7800000000002</v>
      </c>
    </row>
    <row r="51" spans="1:12" s="2" customFormat="1" ht="12">
      <c r="A51" s="311" t="s">
        <v>1202</v>
      </c>
      <c r="B51" s="280"/>
      <c r="C51" s="280"/>
      <c r="D51" s="280"/>
      <c r="E51" s="280"/>
      <c r="F51" s="280"/>
      <c r="G51" s="280"/>
      <c r="H51" s="280"/>
    </row>
    <row r="52" spans="1:12" s="2" customFormat="1" ht="12">
      <c r="A52" s="250" t="s">
        <v>1185</v>
      </c>
      <c r="B52" s="275">
        <v>0</v>
      </c>
      <c r="C52" s="275">
        <v>0</v>
      </c>
      <c r="D52" s="276">
        <f>SUM(B52:C52)</f>
        <v>0</v>
      </c>
      <c r="E52" s="105">
        <v>0</v>
      </c>
      <c r="F52" s="105">
        <v>0</v>
      </c>
      <c r="G52" s="105">
        <v>0</v>
      </c>
      <c r="H52" s="276">
        <f>SUM(E52:G52)</f>
        <v>0</v>
      </c>
    </row>
    <row r="53" spans="1:12" s="2" customFormat="1" ht="12">
      <c r="A53" s="250" t="s">
        <v>192</v>
      </c>
      <c r="B53" s="275">
        <f>264070*0.001</f>
        <v>264.07</v>
      </c>
      <c r="C53" s="275">
        <f>C44</f>
        <v>733.09800000000007</v>
      </c>
      <c r="D53" s="276">
        <f>SUM(B53:C53)</f>
        <v>997.16800000000012</v>
      </c>
      <c r="E53" s="105">
        <v>688.04</v>
      </c>
      <c r="F53" s="105">
        <v>1395.64</v>
      </c>
      <c r="G53" s="105">
        <f>G50</f>
        <v>9.1</v>
      </c>
      <c r="H53" s="276">
        <f>SUM(E53:G53)</f>
        <v>2092.7800000000002</v>
      </c>
    </row>
    <row r="54" spans="1:12" s="2" customFormat="1" ht="12">
      <c r="A54" s="311" t="s">
        <v>1203</v>
      </c>
      <c r="B54" s="280"/>
      <c r="C54" s="280"/>
      <c r="D54" s="280"/>
      <c r="E54" s="280"/>
      <c r="F54" s="280"/>
      <c r="G54" s="280"/>
      <c r="H54" s="280"/>
    </row>
    <row r="55" spans="1:12" s="2" customFormat="1" ht="12">
      <c r="A55" s="250" t="s">
        <v>1204</v>
      </c>
      <c r="B55" s="265">
        <v>0</v>
      </c>
      <c r="C55" s="107">
        <v>0</v>
      </c>
      <c r="D55" s="281">
        <f>SUM(B55:C55)</f>
        <v>0</v>
      </c>
      <c r="E55" s="265">
        <v>0</v>
      </c>
      <c r="F55" s="265">
        <v>0</v>
      </c>
      <c r="G55" s="265">
        <v>0</v>
      </c>
      <c r="H55" s="281">
        <f>SUM(E55:G55)</f>
        <v>0</v>
      </c>
    </row>
    <row r="56" spans="1:12" s="2" customFormat="1" ht="36">
      <c r="A56" s="250" t="s">
        <v>1207</v>
      </c>
      <c r="B56" s="265">
        <v>0</v>
      </c>
      <c r="C56" s="265">
        <v>0</v>
      </c>
      <c r="D56" s="281">
        <f t="shared" ref="D56:D58" si="9">SUM(B56:C56)</f>
        <v>0</v>
      </c>
      <c r="E56" s="265">
        <v>0</v>
      </c>
      <c r="F56" s="265">
        <v>0</v>
      </c>
      <c r="G56" s="265">
        <v>0</v>
      </c>
      <c r="H56" s="281">
        <f>SUM(E56:G56)</f>
        <v>0</v>
      </c>
    </row>
    <row r="57" spans="1:12" s="2" customFormat="1" ht="26.25" customHeight="1">
      <c r="A57" s="250" t="s">
        <v>1205</v>
      </c>
      <c r="B57" s="265">
        <v>0</v>
      </c>
      <c r="C57" s="265">
        <v>0</v>
      </c>
      <c r="D57" s="281">
        <f t="shared" si="9"/>
        <v>0</v>
      </c>
      <c r="E57" s="265">
        <v>0</v>
      </c>
      <c r="F57" s="265">
        <v>0</v>
      </c>
      <c r="G57" s="265">
        <v>0</v>
      </c>
      <c r="H57" s="281">
        <f>SUM(E57:G57)</f>
        <v>0</v>
      </c>
    </row>
    <row r="58" spans="1:12" s="2" customFormat="1" ht="48">
      <c r="A58" s="250" t="s">
        <v>1206</v>
      </c>
      <c r="B58" s="107">
        <v>264.07</v>
      </c>
      <c r="C58" s="107">
        <f>733098*0.001</f>
        <v>733.09800000000007</v>
      </c>
      <c r="D58" s="106">
        <f t="shared" si="9"/>
        <v>997.16800000000012</v>
      </c>
      <c r="E58" s="107">
        <v>688.04</v>
      </c>
      <c r="F58" s="107">
        <v>1395.64</v>
      </c>
      <c r="G58" s="107">
        <f>G53</f>
        <v>9.1</v>
      </c>
      <c r="H58" s="106">
        <f>SUM(E58:G58)</f>
        <v>2092.7800000000002</v>
      </c>
    </row>
    <row r="59" spans="1:12" s="2" customFormat="1" ht="123" customHeight="1">
      <c r="A59" s="461" t="s">
        <v>1215</v>
      </c>
      <c r="B59" s="461"/>
      <c r="C59" s="461"/>
      <c r="D59" s="461"/>
      <c r="E59" s="461"/>
      <c r="F59" s="461"/>
      <c r="G59" s="461"/>
      <c r="H59" s="461"/>
    </row>
    <row r="61" spans="1:12" s="1" customFormat="1" ht="30" customHeight="1" thickBot="1">
      <c r="A61" s="364" t="s">
        <v>1208</v>
      </c>
      <c r="B61" s="365"/>
      <c r="C61" s="365"/>
      <c r="D61" s="365"/>
      <c r="E61" s="365"/>
      <c r="F61" s="365"/>
      <c r="G61" s="365"/>
      <c r="H61" s="365"/>
      <c r="I61" s="365"/>
      <c r="J61" s="365"/>
      <c r="K61" s="365"/>
      <c r="L61" s="365"/>
    </row>
    <row r="62" spans="1:12" s="6" customFormat="1">
      <c r="A62" s="6" t="s">
        <v>156</v>
      </c>
    </row>
    <row r="63" spans="1:12">
      <c r="E63" s="294"/>
    </row>
    <row r="64" spans="1:12" s="2" customFormat="1" ht="12">
      <c r="A64" s="295"/>
      <c r="B64" s="264">
        <v>2020</v>
      </c>
      <c r="C64" s="264"/>
      <c r="D64" s="264"/>
      <c r="E64" s="264">
        <v>2021</v>
      </c>
      <c r="F64" s="264"/>
      <c r="G64" s="264"/>
      <c r="H64" s="264"/>
    </row>
    <row r="65" spans="1:8" s="9" customFormat="1" ht="29.25" customHeight="1">
      <c r="A65" s="264" t="s">
        <v>1209</v>
      </c>
      <c r="B65" s="264" t="s">
        <v>189</v>
      </c>
      <c r="C65" s="264" t="s">
        <v>195</v>
      </c>
      <c r="D65" s="264" t="s">
        <v>77</v>
      </c>
      <c r="E65" s="264" t="s">
        <v>194</v>
      </c>
      <c r="F65" s="264" t="s">
        <v>196</v>
      </c>
      <c r="G65" s="264" t="s">
        <v>387</v>
      </c>
      <c r="H65" s="264" t="s">
        <v>175</v>
      </c>
    </row>
    <row r="66" spans="1:8" s="2" customFormat="1" ht="12">
      <c r="A66" s="47" t="s">
        <v>1210</v>
      </c>
      <c r="B66" s="296">
        <v>1391.07</v>
      </c>
      <c r="C66" s="297">
        <v>1176.47</v>
      </c>
      <c r="D66" s="298">
        <f>SUM(B66:C66)</f>
        <v>2567.54</v>
      </c>
      <c r="E66" s="299">
        <f>E34-E58</f>
        <v>1183.779</v>
      </c>
      <c r="F66" s="134">
        <f>F34-F58</f>
        <v>1181.3800000000003</v>
      </c>
      <c r="G66" s="300">
        <v>9.1</v>
      </c>
      <c r="H66" s="298">
        <f>SUM(E66:G66)</f>
        <v>2374.2590000000005</v>
      </c>
    </row>
    <row r="67" spans="1:8" s="2" customFormat="1" ht="36">
      <c r="A67" s="47" t="s">
        <v>1214</v>
      </c>
      <c r="B67" s="301">
        <v>0</v>
      </c>
      <c r="C67" s="301">
        <v>0</v>
      </c>
      <c r="D67" s="298">
        <f>SUM(B67:C67)</f>
        <v>0</v>
      </c>
      <c r="E67" s="134">
        <v>0</v>
      </c>
      <c r="F67" s="134">
        <v>0</v>
      </c>
      <c r="G67" s="300">
        <v>0</v>
      </c>
      <c r="H67" s="298">
        <f t="shared" ref="H67:H69" si="10">SUM(E67:G67)</f>
        <v>0</v>
      </c>
    </row>
    <row r="68" spans="1:8" s="2" customFormat="1" ht="12">
      <c r="A68" s="47" t="s">
        <v>1211</v>
      </c>
      <c r="B68" s="296">
        <v>1884.4449999999999</v>
      </c>
      <c r="C68" s="296">
        <v>523.71</v>
      </c>
      <c r="D68" s="298">
        <f t="shared" ref="D68:D69" si="11">SUM(B68:C68)</f>
        <v>2408.1549999999997</v>
      </c>
      <c r="E68" s="299">
        <v>621.697</v>
      </c>
      <c r="F68" s="151">
        <v>1395</v>
      </c>
      <c r="G68" s="300">
        <v>0</v>
      </c>
      <c r="H68" s="298">
        <f t="shared" si="10"/>
        <v>2016.6970000000001</v>
      </c>
    </row>
    <row r="69" spans="1:8" s="2" customFormat="1" ht="24">
      <c r="A69" s="47" t="s">
        <v>1212</v>
      </c>
      <c r="B69" s="296">
        <v>3275.5189999999993</v>
      </c>
      <c r="C69" s="296">
        <v>1700.18</v>
      </c>
      <c r="D69" s="298">
        <f t="shared" si="11"/>
        <v>4975.6989999999996</v>
      </c>
      <c r="E69" s="151">
        <f>E66+E68</f>
        <v>1805.4760000000001</v>
      </c>
      <c r="F69" s="151">
        <f>F66+F68</f>
        <v>2576.38</v>
      </c>
      <c r="G69" s="302">
        <v>0</v>
      </c>
      <c r="H69" s="298">
        <f t="shared" si="10"/>
        <v>4381.8559999999998</v>
      </c>
    </row>
    <row r="70" spans="1:8" s="2" customFormat="1" ht="24">
      <c r="A70" s="47" t="s">
        <v>1213</v>
      </c>
      <c r="B70" s="303">
        <f>B68/B69</f>
        <v>0.57531188187276594</v>
      </c>
      <c r="C70" s="303">
        <f>C68/C69</f>
        <v>0.30803209071980614</v>
      </c>
      <c r="D70" s="304">
        <f>D68/D69</f>
        <v>0.48398325541798248</v>
      </c>
      <c r="E70" s="305">
        <f>E68/E69</f>
        <v>0.34433966444306097</v>
      </c>
      <c r="F70" s="305">
        <f>F68/F69</f>
        <v>0.54145739370744994</v>
      </c>
      <c r="G70" s="305">
        <v>0</v>
      </c>
      <c r="H70" s="306">
        <f>H68/H69</f>
        <v>0.46023808176261388</v>
      </c>
    </row>
    <row r="71" spans="1:8" s="2" customFormat="1" ht="103.5" customHeight="1">
      <c r="A71" s="380" t="s">
        <v>1217</v>
      </c>
      <c r="B71" s="380"/>
      <c r="C71" s="380"/>
      <c r="D71" s="380"/>
      <c r="E71" s="380"/>
      <c r="F71" s="380"/>
      <c r="G71" s="380"/>
      <c r="H71" s="380"/>
    </row>
    <row r="72" spans="1:8">
      <c r="A72" s="459" t="s">
        <v>176</v>
      </c>
      <c r="B72" s="460"/>
      <c r="C72" s="460"/>
      <c r="D72" s="460"/>
      <c r="E72" s="460"/>
      <c r="F72" s="460"/>
      <c r="G72" s="460"/>
      <c r="H72" s="460"/>
    </row>
    <row r="73" spans="1:8">
      <c r="A73" s="459" t="s">
        <v>176</v>
      </c>
      <c r="B73" s="460"/>
      <c r="C73" s="460"/>
      <c r="D73" s="460"/>
      <c r="E73" s="460"/>
      <c r="F73" s="460"/>
      <c r="G73" s="460"/>
      <c r="H73" s="460"/>
    </row>
    <row r="74" spans="1:8">
      <c r="A74" s="459"/>
      <c r="B74" s="460"/>
      <c r="C74" s="460"/>
      <c r="D74" s="460"/>
      <c r="E74" s="460"/>
      <c r="F74" s="460"/>
      <c r="G74" s="460"/>
      <c r="H74" s="460"/>
    </row>
  </sheetData>
  <mergeCells count="17">
    <mergeCell ref="A71:H71"/>
    <mergeCell ref="A72:H72"/>
    <mergeCell ref="A73:H73"/>
    <mergeCell ref="A74:H74"/>
    <mergeCell ref="A38:L38"/>
    <mergeCell ref="A61:L61"/>
    <mergeCell ref="A59:H59"/>
    <mergeCell ref="A1:L1"/>
    <mergeCell ref="I13:I14"/>
    <mergeCell ref="B41:D41"/>
    <mergeCell ref="E41:H41"/>
    <mergeCell ref="A4:A5"/>
    <mergeCell ref="A10:L10"/>
    <mergeCell ref="B13:D13"/>
    <mergeCell ref="E13:H13"/>
    <mergeCell ref="A35:N35"/>
    <mergeCell ref="A7:H7"/>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45EA-D06A-447E-A7EE-ED8A8BE040AB}">
  <dimension ref="A1:L115"/>
  <sheetViews>
    <sheetView showGridLines="0" zoomScaleNormal="100" workbookViewId="0">
      <selection sqref="A1:L1"/>
    </sheetView>
  </sheetViews>
  <sheetFormatPr defaultColWidth="11.42578125" defaultRowHeight="15"/>
  <cols>
    <col min="1" max="1" width="49.140625" style="10" customWidth="1"/>
    <col min="2" max="2" width="63.140625" style="10" customWidth="1"/>
    <col min="3" max="3" width="67.42578125" style="10" customWidth="1"/>
    <col min="4" max="4" width="48.42578125" style="10" customWidth="1"/>
    <col min="5" max="5" width="35.42578125" style="10" customWidth="1"/>
    <col min="6" max="6" width="68" style="10" customWidth="1"/>
    <col min="7" max="7" width="26.85546875" style="10" customWidth="1"/>
    <col min="8" max="16384" width="11.42578125" style="10"/>
  </cols>
  <sheetData>
    <row r="1" spans="1:12" ht="36.75" customHeight="1" thickBot="1">
      <c r="A1" s="364" t="s">
        <v>520</v>
      </c>
      <c r="B1" s="365"/>
      <c r="C1" s="365"/>
      <c r="D1" s="365"/>
      <c r="E1" s="365"/>
      <c r="F1" s="365"/>
      <c r="G1" s="365"/>
      <c r="H1" s="365"/>
      <c r="I1" s="365"/>
      <c r="J1" s="365"/>
      <c r="K1" s="365"/>
      <c r="L1" s="365"/>
    </row>
    <row r="2" spans="1:12" s="15" customFormat="1"/>
    <row r="3" spans="1:12" s="16" customFormat="1">
      <c r="A3" s="51" t="s">
        <v>334</v>
      </c>
      <c r="B3" s="52" t="s">
        <v>335</v>
      </c>
      <c r="C3" s="52" t="s">
        <v>359</v>
      </c>
      <c r="D3" s="53" t="s">
        <v>382</v>
      </c>
    </row>
    <row r="4" spans="1:12" ht="60">
      <c r="A4" s="17" t="s">
        <v>338</v>
      </c>
      <c r="B4" s="18" t="s">
        <v>336</v>
      </c>
      <c r="C4" s="18" t="s">
        <v>360</v>
      </c>
      <c r="D4" s="19" t="s">
        <v>234</v>
      </c>
    </row>
    <row r="5" spans="1:12" ht="24">
      <c r="A5" s="20" t="s">
        <v>339</v>
      </c>
      <c r="B5" s="21" t="s">
        <v>336</v>
      </c>
      <c r="C5" s="21" t="s">
        <v>361</v>
      </c>
      <c r="D5" s="22" t="s">
        <v>51</v>
      </c>
    </row>
    <row r="6" spans="1:12" ht="60">
      <c r="A6" s="20" t="s">
        <v>340</v>
      </c>
      <c r="B6" s="21" t="s">
        <v>337</v>
      </c>
      <c r="C6" s="21" t="s">
        <v>362</v>
      </c>
      <c r="D6" s="23" t="s">
        <v>242</v>
      </c>
    </row>
    <row r="7" spans="1:12" ht="25.5" customHeight="1">
      <c r="A7" s="20" t="s">
        <v>341</v>
      </c>
      <c r="B7" s="21" t="s">
        <v>336</v>
      </c>
      <c r="C7" s="21" t="s">
        <v>363</v>
      </c>
      <c r="D7" s="23" t="s">
        <v>242</v>
      </c>
    </row>
    <row r="8" spans="1:12" ht="60">
      <c r="A8" s="20" t="s">
        <v>342</v>
      </c>
      <c r="B8" s="21" t="s">
        <v>336</v>
      </c>
      <c r="C8" s="21" t="s">
        <v>364</v>
      </c>
      <c r="D8" s="23" t="s">
        <v>242</v>
      </c>
    </row>
    <row r="9" spans="1:12">
      <c r="A9" s="24" t="s">
        <v>343</v>
      </c>
      <c r="B9" s="25"/>
      <c r="C9" s="25"/>
      <c r="D9" s="26"/>
    </row>
    <row r="10" spans="1:12" ht="84">
      <c r="A10" s="20" t="s">
        <v>344</v>
      </c>
      <c r="B10" s="21" t="s">
        <v>336</v>
      </c>
      <c r="C10" s="21" t="s">
        <v>365</v>
      </c>
      <c r="D10" s="23" t="s">
        <v>381</v>
      </c>
    </row>
    <row r="11" spans="1:12" ht="48">
      <c r="A11" s="20" t="s">
        <v>345</v>
      </c>
      <c r="B11" s="21" t="s">
        <v>336</v>
      </c>
      <c r="C11" s="21" t="s">
        <v>366</v>
      </c>
      <c r="D11" s="23" t="s">
        <v>381</v>
      </c>
    </row>
    <row r="12" spans="1:12" ht="60">
      <c r="A12" s="20" t="s">
        <v>346</v>
      </c>
      <c r="B12" s="21" t="s">
        <v>337</v>
      </c>
      <c r="C12" s="21" t="s">
        <v>367</v>
      </c>
      <c r="D12" s="23" t="s">
        <v>381</v>
      </c>
    </row>
    <row r="13" spans="1:12" ht="60">
      <c r="A13" s="20" t="s">
        <v>347</v>
      </c>
      <c r="B13" s="21" t="s">
        <v>337</v>
      </c>
      <c r="C13" s="21" t="s">
        <v>368</v>
      </c>
      <c r="D13" s="23" t="s">
        <v>381</v>
      </c>
    </row>
    <row r="14" spans="1:12">
      <c r="A14" s="24" t="s">
        <v>348</v>
      </c>
      <c r="B14" s="25"/>
      <c r="C14" s="25"/>
      <c r="D14" s="26"/>
    </row>
    <row r="15" spans="1:12" ht="60">
      <c r="A15" s="20" t="s">
        <v>177</v>
      </c>
      <c r="B15" s="21" t="s">
        <v>336</v>
      </c>
      <c r="C15" s="21" t="s">
        <v>369</v>
      </c>
      <c r="D15" s="23" t="s">
        <v>398</v>
      </c>
    </row>
    <row r="16" spans="1:12" ht="60">
      <c r="A16" s="20" t="s">
        <v>349</v>
      </c>
      <c r="B16" s="21" t="s">
        <v>336</v>
      </c>
      <c r="C16" s="21" t="s">
        <v>370</v>
      </c>
      <c r="D16" s="23" t="s">
        <v>398</v>
      </c>
    </row>
    <row r="17" spans="1:12" ht="24">
      <c r="A17" s="20" t="s">
        <v>350</v>
      </c>
      <c r="B17" s="21" t="s">
        <v>336</v>
      </c>
      <c r="C17" s="21" t="s">
        <v>371</v>
      </c>
      <c r="D17" s="23" t="s">
        <v>245</v>
      </c>
    </row>
    <row r="18" spans="1:12" ht="24">
      <c r="A18" s="20" t="s">
        <v>351</v>
      </c>
      <c r="B18" s="21" t="s">
        <v>337</v>
      </c>
      <c r="C18" s="21" t="s">
        <v>372</v>
      </c>
      <c r="D18" s="23" t="s">
        <v>380</v>
      </c>
    </row>
    <row r="19" spans="1:12" ht="24">
      <c r="A19" s="20" t="s">
        <v>352</v>
      </c>
      <c r="B19" s="21" t="s">
        <v>337</v>
      </c>
      <c r="C19" s="21" t="s">
        <v>373</v>
      </c>
      <c r="D19" s="23" t="s">
        <v>379</v>
      </c>
    </row>
    <row r="20" spans="1:12" ht="24">
      <c r="A20" s="20" t="s">
        <v>353</v>
      </c>
      <c r="B20" s="21" t="s">
        <v>337</v>
      </c>
      <c r="C20" s="21" t="s">
        <v>374</v>
      </c>
      <c r="D20" s="23" t="s">
        <v>379</v>
      </c>
    </row>
    <row r="21" spans="1:12">
      <c r="A21" s="24" t="s">
        <v>354</v>
      </c>
      <c r="B21" s="25"/>
      <c r="C21" s="25"/>
      <c r="D21" s="26"/>
    </row>
    <row r="22" spans="1:12">
      <c r="A22" s="20" t="s">
        <v>355</v>
      </c>
      <c r="B22" s="21" t="s">
        <v>336</v>
      </c>
      <c r="C22" s="21" t="s">
        <v>376</v>
      </c>
      <c r="D22" s="23" t="s">
        <v>397</v>
      </c>
    </row>
    <row r="23" spans="1:12">
      <c r="A23" s="20" t="s">
        <v>356</v>
      </c>
      <c r="B23" s="21" t="s">
        <v>336</v>
      </c>
      <c r="C23" s="21" t="s">
        <v>375</v>
      </c>
      <c r="D23" s="23" t="s">
        <v>241</v>
      </c>
    </row>
    <row r="24" spans="1:12" ht="24">
      <c r="A24" s="20" t="s">
        <v>357</v>
      </c>
      <c r="B24" s="21" t="s">
        <v>336</v>
      </c>
      <c r="C24" s="21" t="s">
        <v>377</v>
      </c>
      <c r="D24" s="23" t="s">
        <v>239</v>
      </c>
    </row>
    <row r="25" spans="1:12" ht="36">
      <c r="A25" s="20" t="s">
        <v>358</v>
      </c>
      <c r="B25" s="21" t="s">
        <v>336</v>
      </c>
      <c r="C25" s="21" t="s">
        <v>378</v>
      </c>
      <c r="D25" s="23" t="s">
        <v>240</v>
      </c>
    </row>
    <row r="28" spans="1:12" ht="36.75" customHeight="1" thickBot="1">
      <c r="A28" s="364" t="s">
        <v>383</v>
      </c>
      <c r="B28" s="365"/>
      <c r="C28" s="365"/>
      <c r="D28" s="365"/>
      <c r="E28" s="365"/>
      <c r="F28" s="365"/>
      <c r="G28" s="365"/>
      <c r="H28" s="365"/>
      <c r="I28" s="365"/>
      <c r="J28" s="365"/>
      <c r="K28" s="365"/>
      <c r="L28" s="365"/>
    </row>
    <row r="29" spans="1:12" s="15" customFormat="1">
      <c r="A29" s="15" t="s">
        <v>52</v>
      </c>
    </row>
    <row r="31" spans="1:12">
      <c r="A31" s="48" t="s">
        <v>384</v>
      </c>
      <c r="B31" s="49" t="s">
        <v>197</v>
      </c>
      <c r="C31" s="49" t="s">
        <v>395</v>
      </c>
      <c r="D31" s="50" t="s">
        <v>396</v>
      </c>
    </row>
    <row r="32" spans="1:12">
      <c r="A32" s="377" t="s">
        <v>385</v>
      </c>
      <c r="B32" s="267" t="s">
        <v>388</v>
      </c>
      <c r="C32" s="373" t="s">
        <v>399</v>
      </c>
      <c r="D32" s="374" t="s">
        <v>406</v>
      </c>
    </row>
    <row r="33" spans="1:4">
      <c r="A33" s="378"/>
      <c r="B33" s="28" t="s">
        <v>389</v>
      </c>
      <c r="C33" s="360"/>
      <c r="D33" s="375"/>
    </row>
    <row r="34" spans="1:4">
      <c r="A34" s="378"/>
      <c r="B34" s="28" t="s">
        <v>401</v>
      </c>
      <c r="C34" s="360"/>
      <c r="D34" s="375"/>
    </row>
    <row r="35" spans="1:4">
      <c r="A35" s="378"/>
      <c r="B35" s="28" t="s">
        <v>402</v>
      </c>
      <c r="C35" s="360"/>
      <c r="D35" s="375"/>
    </row>
    <row r="36" spans="1:4">
      <c r="A36" s="378"/>
      <c r="B36" s="28" t="s">
        <v>403</v>
      </c>
      <c r="C36" s="360"/>
      <c r="D36" s="375"/>
    </row>
    <row r="37" spans="1:4">
      <c r="A37" s="378"/>
      <c r="B37" s="28" t="s">
        <v>390</v>
      </c>
      <c r="C37" s="360"/>
      <c r="D37" s="375"/>
    </row>
    <row r="38" spans="1:4">
      <c r="A38" s="378"/>
      <c r="B38" s="28" t="s">
        <v>391</v>
      </c>
      <c r="C38" s="360"/>
      <c r="D38" s="375"/>
    </row>
    <row r="39" spans="1:4">
      <c r="A39" s="377" t="s">
        <v>386</v>
      </c>
      <c r="B39" s="267" t="s">
        <v>392</v>
      </c>
      <c r="C39" s="373" t="s">
        <v>53</v>
      </c>
      <c r="D39" s="375"/>
    </row>
    <row r="40" spans="1:4">
      <c r="A40" s="378"/>
      <c r="B40" s="28" t="s">
        <v>404</v>
      </c>
      <c r="C40" s="360"/>
      <c r="D40" s="375"/>
    </row>
    <row r="41" spans="1:4">
      <c r="A41" s="378"/>
      <c r="B41" s="28" t="s">
        <v>400</v>
      </c>
      <c r="C41" s="360"/>
      <c r="D41" s="375"/>
    </row>
    <row r="42" spans="1:4">
      <c r="A42" s="378"/>
      <c r="B42" s="28" t="s">
        <v>390</v>
      </c>
      <c r="C42" s="360"/>
      <c r="D42" s="375"/>
    </row>
    <row r="43" spans="1:4">
      <c r="A43" s="378"/>
      <c r="B43" s="28" t="s">
        <v>391</v>
      </c>
      <c r="C43" s="360"/>
      <c r="D43" s="375"/>
    </row>
    <row r="44" spans="1:4" ht="24">
      <c r="A44" s="269" t="s">
        <v>387</v>
      </c>
      <c r="B44" s="268" t="s">
        <v>394</v>
      </c>
      <c r="C44" s="268" t="s">
        <v>55</v>
      </c>
      <c r="D44" s="375"/>
    </row>
    <row r="45" spans="1:4" ht="24">
      <c r="A45" s="270" t="s">
        <v>56</v>
      </c>
      <c r="B45" s="268" t="s">
        <v>391</v>
      </c>
      <c r="C45" s="268" t="s">
        <v>405</v>
      </c>
      <c r="D45" s="376"/>
    </row>
    <row r="46" spans="1:4" ht="54.75" customHeight="1">
      <c r="A46" s="379" t="s">
        <v>393</v>
      </c>
      <c r="B46" s="379"/>
      <c r="C46" s="379"/>
      <c r="D46" s="379"/>
    </row>
    <row r="49" spans="1:12" ht="36.75" customHeight="1" thickBot="1">
      <c r="A49" s="364" t="s">
        <v>407</v>
      </c>
      <c r="B49" s="365"/>
      <c r="C49" s="365"/>
      <c r="D49" s="365"/>
      <c r="E49" s="365"/>
      <c r="F49" s="365"/>
      <c r="G49" s="365"/>
      <c r="H49" s="365"/>
      <c r="I49" s="365"/>
      <c r="J49" s="365"/>
      <c r="K49" s="365"/>
      <c r="L49" s="365"/>
    </row>
    <row r="50" spans="1:12" s="15" customFormat="1">
      <c r="A50" s="15" t="s">
        <v>57</v>
      </c>
    </row>
    <row r="52" spans="1:12">
      <c r="A52" s="29" t="s">
        <v>408</v>
      </c>
      <c r="B52" s="266" t="s">
        <v>415</v>
      </c>
      <c r="C52" s="30" t="s">
        <v>416</v>
      </c>
      <c r="D52" s="31" t="s">
        <v>58</v>
      </c>
    </row>
    <row r="53" spans="1:12">
      <c r="A53" s="32" t="s">
        <v>178</v>
      </c>
      <c r="B53" s="134">
        <v>1193</v>
      </c>
      <c r="C53" s="33" t="s">
        <v>417</v>
      </c>
      <c r="D53" s="34" t="s">
        <v>59</v>
      </c>
    </row>
    <row r="54" spans="1:12">
      <c r="A54" s="32" t="s">
        <v>60</v>
      </c>
      <c r="B54" s="73" t="s">
        <v>61</v>
      </c>
      <c r="C54" s="33"/>
      <c r="D54" s="34"/>
    </row>
    <row r="55" spans="1:12">
      <c r="A55" s="366" t="s">
        <v>409</v>
      </c>
      <c r="B55" s="367"/>
      <c r="C55" s="367"/>
      <c r="D55" s="368"/>
    </row>
    <row r="56" spans="1:12">
      <c r="A56" s="369" t="s">
        <v>410</v>
      </c>
      <c r="B56" s="370"/>
      <c r="C56" s="371" t="s">
        <v>62</v>
      </c>
      <c r="D56" s="372"/>
    </row>
    <row r="57" spans="1:12">
      <c r="A57" s="369" t="s">
        <v>411</v>
      </c>
      <c r="B57" s="370"/>
      <c r="C57" s="371" t="s">
        <v>63</v>
      </c>
      <c r="D57" s="372"/>
    </row>
    <row r="58" spans="1:12">
      <c r="A58" s="369" t="s">
        <v>412</v>
      </c>
      <c r="B58" s="370"/>
      <c r="C58" s="371" t="s">
        <v>64</v>
      </c>
      <c r="D58" s="372"/>
    </row>
    <row r="59" spans="1:12">
      <c r="A59" s="369" t="s">
        <v>413</v>
      </c>
      <c r="B59" s="370"/>
      <c r="C59" s="371" t="s">
        <v>65</v>
      </c>
      <c r="D59" s="372"/>
    </row>
    <row r="60" spans="1:12">
      <c r="A60" s="382" t="s">
        <v>414</v>
      </c>
      <c r="B60" s="383"/>
      <c r="C60" s="384" t="s">
        <v>66</v>
      </c>
      <c r="D60" s="385"/>
    </row>
    <row r="63" spans="1:12" ht="36.75" customHeight="1" thickBot="1">
      <c r="A63" s="364" t="s">
        <v>418</v>
      </c>
      <c r="B63" s="365"/>
      <c r="C63" s="365"/>
      <c r="D63" s="365"/>
      <c r="E63" s="365"/>
      <c r="F63" s="365"/>
      <c r="G63" s="365"/>
      <c r="H63" s="365"/>
      <c r="I63" s="365"/>
      <c r="J63" s="365"/>
      <c r="K63" s="365"/>
      <c r="L63" s="365"/>
    </row>
    <row r="64" spans="1:12" s="15" customFormat="1">
      <c r="A64" s="15" t="s">
        <v>67</v>
      </c>
    </row>
    <row r="66" spans="1:12">
      <c r="A66" s="54" t="s">
        <v>419</v>
      </c>
      <c r="B66" s="54" t="s">
        <v>427</v>
      </c>
      <c r="C66" s="54" t="s">
        <v>422</v>
      </c>
    </row>
    <row r="67" spans="1:12" ht="132">
      <c r="A67" s="36" t="s">
        <v>420</v>
      </c>
      <c r="B67" s="28" t="s">
        <v>421</v>
      </c>
      <c r="C67" s="36" t="s">
        <v>423</v>
      </c>
    </row>
    <row r="68" spans="1:12" ht="84">
      <c r="A68" s="36" t="s">
        <v>425</v>
      </c>
      <c r="B68" s="28" t="s">
        <v>426</v>
      </c>
      <c r="C68" s="28" t="s">
        <v>424</v>
      </c>
    </row>
    <row r="70" spans="1:12">
      <c r="A70" s="55" t="s">
        <v>428</v>
      </c>
      <c r="B70" s="56" t="s">
        <v>427</v>
      </c>
    </row>
    <row r="71" spans="1:12" ht="108">
      <c r="A71" s="37" t="s">
        <v>429</v>
      </c>
      <c r="B71" s="28" t="s">
        <v>430</v>
      </c>
    </row>
    <row r="72" spans="1:12" ht="72">
      <c r="A72" s="37" t="s">
        <v>434</v>
      </c>
      <c r="B72" s="28" t="s">
        <v>431</v>
      </c>
    </row>
    <row r="73" spans="1:12" ht="69.75" customHeight="1">
      <c r="A73" s="37" t="s">
        <v>435</v>
      </c>
      <c r="B73" s="28" t="s">
        <v>432</v>
      </c>
    </row>
    <row r="74" spans="1:12" ht="60">
      <c r="A74" s="37" t="s">
        <v>436</v>
      </c>
      <c r="B74" s="28" t="s">
        <v>433</v>
      </c>
    </row>
    <row r="75" spans="1:12" ht="72">
      <c r="A75" s="37" t="s">
        <v>437</v>
      </c>
      <c r="B75" s="28" t="s">
        <v>438</v>
      </c>
    </row>
    <row r="76" spans="1:12" ht="60">
      <c r="A76" s="37" t="s">
        <v>441</v>
      </c>
      <c r="B76" s="28" t="s">
        <v>439</v>
      </c>
    </row>
    <row r="77" spans="1:12" ht="60">
      <c r="A77" s="37" t="s">
        <v>442</v>
      </c>
      <c r="B77" s="28" t="s">
        <v>440</v>
      </c>
    </row>
    <row r="80" spans="1:12" ht="36.75" customHeight="1" thickBot="1">
      <c r="A80" s="364" t="s">
        <v>443</v>
      </c>
      <c r="B80" s="365"/>
      <c r="C80" s="365"/>
      <c r="D80" s="365"/>
      <c r="E80" s="365"/>
      <c r="F80" s="365"/>
      <c r="G80" s="365"/>
      <c r="H80" s="365"/>
      <c r="I80" s="365"/>
      <c r="J80" s="365"/>
      <c r="K80" s="365"/>
      <c r="L80" s="365"/>
    </row>
    <row r="81" spans="1:5" s="15" customFormat="1">
      <c r="A81" s="15" t="s">
        <v>68</v>
      </c>
    </row>
    <row r="83" spans="1:5">
      <c r="A83" s="57" t="s">
        <v>444</v>
      </c>
      <c r="B83" s="58" t="s">
        <v>456</v>
      </c>
      <c r="C83" s="58" t="s">
        <v>469</v>
      </c>
      <c r="D83" s="58" t="s">
        <v>470</v>
      </c>
      <c r="E83" s="59" t="s">
        <v>179</v>
      </c>
    </row>
    <row r="84" spans="1:5">
      <c r="A84" s="38" t="s">
        <v>445</v>
      </c>
      <c r="B84" s="39" t="s">
        <v>457</v>
      </c>
      <c r="C84" s="39" t="s">
        <v>472</v>
      </c>
      <c r="D84" s="27" t="s">
        <v>476</v>
      </c>
      <c r="E84" s="40" t="s">
        <v>479</v>
      </c>
    </row>
    <row r="85" spans="1:5" ht="72">
      <c r="A85" s="38" t="s">
        <v>446</v>
      </c>
      <c r="B85" s="39" t="s">
        <v>458</v>
      </c>
      <c r="C85" s="39" t="s">
        <v>473</v>
      </c>
      <c r="D85" s="39" t="s">
        <v>477</v>
      </c>
      <c r="E85" s="40" t="s">
        <v>480</v>
      </c>
    </row>
    <row r="86" spans="1:5" ht="24">
      <c r="A86" s="38" t="s">
        <v>447</v>
      </c>
      <c r="B86" s="347" t="s">
        <v>459</v>
      </c>
      <c r="C86" s="39" t="s">
        <v>474</v>
      </c>
      <c r="D86" s="27" t="s">
        <v>478</v>
      </c>
      <c r="E86" s="40" t="s">
        <v>481</v>
      </c>
    </row>
    <row r="87" spans="1:5" ht="120">
      <c r="A87" s="38" t="s">
        <v>448</v>
      </c>
      <c r="B87" s="41" t="s">
        <v>460</v>
      </c>
      <c r="C87" s="39" t="s">
        <v>475</v>
      </c>
      <c r="D87" s="27" t="s">
        <v>484</v>
      </c>
      <c r="E87" s="40" t="s">
        <v>482</v>
      </c>
    </row>
    <row r="88" spans="1:5" ht="60">
      <c r="A88" s="38" t="s">
        <v>449</v>
      </c>
      <c r="B88" s="357" t="s">
        <v>461</v>
      </c>
      <c r="C88" s="39" t="s">
        <v>473</v>
      </c>
      <c r="D88" s="27" t="s">
        <v>485</v>
      </c>
      <c r="E88" s="40" t="s">
        <v>482</v>
      </c>
    </row>
    <row r="89" spans="1:5" ht="36">
      <c r="A89" s="38" t="s">
        <v>450</v>
      </c>
      <c r="B89" s="39" t="s">
        <v>462</v>
      </c>
      <c r="C89" s="39" t="s">
        <v>471</v>
      </c>
      <c r="D89" s="27" t="s">
        <v>486</v>
      </c>
      <c r="E89" s="40" t="s">
        <v>483</v>
      </c>
    </row>
    <row r="90" spans="1:5" ht="115.5" customHeight="1">
      <c r="A90" s="38" t="s">
        <v>451</v>
      </c>
      <c r="B90" s="41" t="s">
        <v>463</v>
      </c>
      <c r="C90" s="39" t="s">
        <v>471</v>
      </c>
      <c r="D90" s="27" t="s">
        <v>487</v>
      </c>
      <c r="E90" s="40" t="s">
        <v>482</v>
      </c>
    </row>
    <row r="91" spans="1:5" ht="96">
      <c r="A91" s="38" t="s">
        <v>452</v>
      </c>
      <c r="B91" s="41" t="s">
        <v>464</v>
      </c>
      <c r="C91" s="39" t="s">
        <v>465</v>
      </c>
      <c r="D91" s="27" t="s">
        <v>488</v>
      </c>
      <c r="E91" s="40" t="s">
        <v>482</v>
      </c>
    </row>
    <row r="92" spans="1:5" ht="72">
      <c r="A92" s="38" t="s">
        <v>453</v>
      </c>
      <c r="B92" s="41" t="s">
        <v>466</v>
      </c>
      <c r="C92" s="39" t="s">
        <v>473</v>
      </c>
      <c r="D92" s="27" t="s">
        <v>489</v>
      </c>
      <c r="E92" s="40" t="s">
        <v>479</v>
      </c>
    </row>
    <row r="93" spans="1:5" ht="108">
      <c r="A93" s="38" t="s">
        <v>454</v>
      </c>
      <c r="B93" s="41" t="s">
        <v>467</v>
      </c>
      <c r="C93" s="39" t="s">
        <v>471</v>
      </c>
      <c r="D93" s="27" t="s">
        <v>490</v>
      </c>
      <c r="E93" s="40" t="s">
        <v>479</v>
      </c>
    </row>
    <row r="94" spans="1:5" ht="96">
      <c r="A94" s="42" t="s">
        <v>455</v>
      </c>
      <c r="B94" s="348" t="s">
        <v>468</v>
      </c>
      <c r="C94" s="43" t="s">
        <v>465</v>
      </c>
      <c r="D94" s="21" t="s">
        <v>491</v>
      </c>
      <c r="E94" s="44" t="s">
        <v>482</v>
      </c>
    </row>
    <row r="97" spans="1:12" ht="36.75" customHeight="1" thickBot="1">
      <c r="A97" s="364" t="s">
        <v>492</v>
      </c>
      <c r="B97" s="365"/>
      <c r="C97" s="365"/>
      <c r="D97" s="365"/>
      <c r="E97" s="365"/>
      <c r="F97" s="365"/>
      <c r="G97" s="365"/>
      <c r="H97" s="365"/>
      <c r="I97" s="365"/>
      <c r="J97" s="365"/>
      <c r="K97" s="365"/>
      <c r="L97" s="365"/>
    </row>
    <row r="98" spans="1:12" s="15" customFormat="1">
      <c r="A98" s="15" t="s">
        <v>69</v>
      </c>
    </row>
    <row r="100" spans="1:12">
      <c r="A100" s="57" t="s">
        <v>493</v>
      </c>
      <c r="B100" s="57" t="s">
        <v>494</v>
      </c>
    </row>
    <row r="101" spans="1:12" ht="48.75">
      <c r="A101" s="46" t="s">
        <v>495</v>
      </c>
      <c r="B101" s="47" t="s">
        <v>505</v>
      </c>
    </row>
    <row r="102" spans="1:12" ht="48.75">
      <c r="A102" s="46" t="s">
        <v>496</v>
      </c>
      <c r="B102" s="47" t="s">
        <v>506</v>
      </c>
    </row>
    <row r="103" spans="1:12" ht="24.75">
      <c r="A103" s="46" t="s">
        <v>497</v>
      </c>
      <c r="B103" s="47" t="s">
        <v>507</v>
      </c>
    </row>
    <row r="104" spans="1:12" ht="24.75">
      <c r="A104" s="46" t="s">
        <v>498</v>
      </c>
      <c r="B104" s="47" t="s">
        <v>508</v>
      </c>
    </row>
    <row r="105" spans="1:12" ht="24.75">
      <c r="A105" s="46" t="s">
        <v>239</v>
      </c>
      <c r="B105" s="47" t="s">
        <v>509</v>
      </c>
    </row>
    <row r="106" spans="1:12">
      <c r="A106" s="46" t="s">
        <v>499</v>
      </c>
      <c r="B106" s="12" t="s">
        <v>246</v>
      </c>
    </row>
    <row r="107" spans="1:12" ht="24.75">
      <c r="A107" s="46" t="s">
        <v>500</v>
      </c>
      <c r="B107" s="47" t="s">
        <v>510</v>
      </c>
    </row>
    <row r="108" spans="1:12" ht="24.75">
      <c r="A108" s="46" t="s">
        <v>501</v>
      </c>
      <c r="B108" s="47" t="s">
        <v>511</v>
      </c>
    </row>
    <row r="109" spans="1:12">
      <c r="A109" s="46" t="s">
        <v>502</v>
      </c>
      <c r="B109" s="12" t="s">
        <v>512</v>
      </c>
    </row>
    <row r="110" spans="1:12" ht="84.75">
      <c r="A110" s="46" t="s">
        <v>242</v>
      </c>
      <c r="B110" s="47" t="s">
        <v>513</v>
      </c>
    </row>
    <row r="111" spans="1:12">
      <c r="A111" s="46" t="s">
        <v>503</v>
      </c>
      <c r="B111" s="12" t="s">
        <v>514</v>
      </c>
    </row>
    <row r="112" spans="1:12" ht="36.75">
      <c r="A112" s="46" t="s">
        <v>504</v>
      </c>
      <c r="B112" s="47" t="s">
        <v>515</v>
      </c>
    </row>
    <row r="113" spans="1:2" ht="24.75">
      <c r="A113" s="46" t="s">
        <v>241</v>
      </c>
      <c r="B113" s="47" t="s">
        <v>516</v>
      </c>
    </row>
    <row r="114" spans="1:2" ht="36.75">
      <c r="A114" s="46" t="s">
        <v>247</v>
      </c>
      <c r="B114" s="47" t="s">
        <v>517</v>
      </c>
    </row>
    <row r="115" spans="1:2" ht="124.5" customHeight="1">
      <c r="A115" s="380" t="s">
        <v>518</v>
      </c>
      <c r="B115" s="381"/>
    </row>
  </sheetData>
  <mergeCells count="24">
    <mergeCell ref="A97:L97"/>
    <mergeCell ref="A115:B115"/>
    <mergeCell ref="A80:L80"/>
    <mergeCell ref="A63:L63"/>
    <mergeCell ref="A58:B58"/>
    <mergeCell ref="C58:D58"/>
    <mergeCell ref="A59:B59"/>
    <mergeCell ref="C59:D59"/>
    <mergeCell ref="A60:B60"/>
    <mergeCell ref="C60:D60"/>
    <mergeCell ref="A57:B57"/>
    <mergeCell ref="C57:D57"/>
    <mergeCell ref="A49:L49"/>
    <mergeCell ref="D32:D45"/>
    <mergeCell ref="A32:A38"/>
    <mergeCell ref="A39:A43"/>
    <mergeCell ref="A46:D46"/>
    <mergeCell ref="A28:L28"/>
    <mergeCell ref="A1:L1"/>
    <mergeCell ref="A55:D55"/>
    <mergeCell ref="A56:B56"/>
    <mergeCell ref="C56:D56"/>
    <mergeCell ref="C32:C38"/>
    <mergeCell ref="C39:C43"/>
  </mergeCells>
  <hyperlinks>
    <hyperlink ref="D5" r:id="rId1" display="http://www.calibremining.com/" xr:uid="{DC0E01BA-75B4-4DC4-8FDC-3A393F16962A}"/>
    <hyperlink ref="A67" r:id="rId2" display="https://www.gold.org/" xr:uid="{E01AEE6D-9149-482F-8AF3-49CC273B4781}"/>
    <hyperlink ref="C67" r:id="rId3" display="https://www.calibremining.com/esg/overview/" xr:uid="{BF837D3D-3DED-479F-88D9-E685A1DC17EE}"/>
    <hyperlink ref="A68" r:id="rId4" display="http://caminic.com/" xr:uid="{87396ED7-F120-4601-B592-71054CD88ABA}"/>
    <hyperlink ref="A71" r:id="rId5" display="https://www.ohchr.org/documents/publications/guidingprinciplesbusinesshr_en.pdf" xr:uid="{8D9C8302-78E2-4989-A3F1-53518F76A15A}"/>
    <hyperlink ref="A72" r:id="rId6" display="https://www.voluntaryprinciples.org/" xr:uid="{B8E67245-5D2D-4B9F-82DF-11481637E868}"/>
    <hyperlink ref="A75" r:id="rId7" display="https://cyanidecode.org/" xr:uid="{E401706D-D6FF-496C-B28E-57A1F0367E2A}"/>
    <hyperlink ref="A76" r:id="rId8" display="https://www.ifrs.org/" xr:uid="{17F59836-06A4-4BA8-B113-5DFE3342D60A}"/>
    <hyperlink ref="A77" r:id="rId9" display="https://sdgs.un.org/goals" xr:uid="{F130E1DB-69B5-4FB2-94B9-17E5D387FFBE}"/>
    <hyperlink ref="A73" r:id="rId10" display="International Council on Mining &amp; Metals Mining Principles " xr:uid="{B7AA47E8-AB68-47D0-B2B1-F08ECF57D99A}"/>
    <hyperlink ref="A74" r:id="rId11" display="International Finance Corporation Performance Standards" xr:uid="{2491E927-FBFB-4DA9-B75E-B37EFC07A53E}"/>
  </hyperlinks>
  <pageMargins left="0.7" right="0.7" top="0.75" bottom="0.75" header="0.3" footer="0.3"/>
  <pageSetup orientation="portrait" r:id="rId12"/>
  <drawing r:id="rId13"/>
  <tableParts count="3">
    <tablePart r:id="rId14"/>
    <tablePart r:id="rId15"/>
    <tablePart r:id="rId1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D0DB-4E1B-49D1-8137-4308981439AA}">
  <dimension ref="A1:L21"/>
  <sheetViews>
    <sheetView showGridLines="0" zoomScale="110" zoomScaleNormal="110" workbookViewId="0">
      <selection activeCell="D6" sqref="D6"/>
    </sheetView>
  </sheetViews>
  <sheetFormatPr defaultColWidth="11.42578125" defaultRowHeight="15"/>
  <cols>
    <col min="1" max="1" width="23.42578125" style="10" customWidth="1"/>
    <col min="2" max="2" width="25.140625" style="10" customWidth="1"/>
    <col min="3" max="3" width="28.42578125" style="10" customWidth="1"/>
    <col min="4" max="4" width="20" style="10" customWidth="1"/>
    <col min="5" max="5" width="45.42578125" style="10" customWidth="1"/>
    <col min="6" max="6" width="68" style="10" customWidth="1"/>
    <col min="7" max="7" width="26.85546875" style="10" customWidth="1"/>
    <col min="8" max="16384" width="11.42578125" style="10"/>
  </cols>
  <sheetData>
    <row r="1" spans="1:12" ht="36.75" customHeight="1" thickBot="1">
      <c r="A1" s="364" t="s">
        <v>524</v>
      </c>
      <c r="B1" s="365"/>
      <c r="C1" s="365"/>
      <c r="D1" s="365"/>
      <c r="E1" s="365"/>
      <c r="F1" s="365"/>
      <c r="G1" s="365"/>
      <c r="H1" s="365"/>
      <c r="I1" s="365"/>
      <c r="J1" s="365"/>
      <c r="K1" s="365"/>
      <c r="L1" s="365"/>
    </row>
    <row r="2" spans="1:12" s="15" customFormat="1">
      <c r="A2" s="15" t="s">
        <v>548</v>
      </c>
    </row>
    <row r="4" spans="1:12">
      <c r="A4" s="70" t="s">
        <v>525</v>
      </c>
      <c r="B4" s="70" t="s">
        <v>526</v>
      </c>
      <c r="C4" s="70" t="s">
        <v>395</v>
      </c>
      <c r="D4" s="70" t="s">
        <v>532</v>
      </c>
      <c r="E4" s="70" t="s">
        <v>527</v>
      </c>
      <c r="F4" s="70" t="s">
        <v>528</v>
      </c>
    </row>
    <row r="5" spans="1:12" ht="72">
      <c r="A5" s="61" t="s">
        <v>189</v>
      </c>
      <c r="B5" s="61" t="s">
        <v>521</v>
      </c>
      <c r="C5" s="28" t="s">
        <v>71</v>
      </c>
      <c r="D5" s="62"/>
      <c r="E5" s="63" t="s">
        <v>533</v>
      </c>
      <c r="F5" s="28" t="s">
        <v>529</v>
      </c>
    </row>
    <row r="6" spans="1:12" ht="192">
      <c r="A6" s="61" t="s">
        <v>195</v>
      </c>
      <c r="B6" s="61" t="s">
        <v>521</v>
      </c>
      <c r="C6" s="28" t="s">
        <v>72</v>
      </c>
      <c r="D6" s="62">
        <v>3259</v>
      </c>
      <c r="E6" s="63" t="s">
        <v>534</v>
      </c>
      <c r="F6" s="63" t="s">
        <v>535</v>
      </c>
    </row>
    <row r="7" spans="1:12" ht="120">
      <c r="A7" s="61" t="s">
        <v>54</v>
      </c>
      <c r="B7" s="61" t="s">
        <v>521</v>
      </c>
      <c r="C7" s="28" t="s">
        <v>73</v>
      </c>
      <c r="D7" s="62">
        <v>103</v>
      </c>
      <c r="E7" s="63" t="s">
        <v>536</v>
      </c>
      <c r="F7" s="63" t="s">
        <v>530</v>
      </c>
    </row>
    <row r="8" spans="1:12" ht="120">
      <c r="A8" s="61" t="s">
        <v>56</v>
      </c>
      <c r="B8" s="61" t="s">
        <v>522</v>
      </c>
      <c r="C8" s="28" t="s">
        <v>74</v>
      </c>
      <c r="D8" s="62">
        <v>686</v>
      </c>
      <c r="E8" s="63" t="s">
        <v>537</v>
      </c>
      <c r="F8" s="61" t="s">
        <v>531</v>
      </c>
    </row>
    <row r="11" spans="1:12" ht="20.25" thickBot="1">
      <c r="A11" s="364" t="s">
        <v>538</v>
      </c>
      <c r="B11" s="365"/>
      <c r="C11" s="365"/>
      <c r="D11" s="365"/>
      <c r="E11" s="365"/>
      <c r="F11" s="365"/>
      <c r="G11" s="365"/>
      <c r="H11" s="365"/>
      <c r="I11" s="365"/>
      <c r="J11" s="365"/>
      <c r="K11" s="365"/>
      <c r="L11" s="365"/>
    </row>
    <row r="12" spans="1:12" s="15" customFormat="1">
      <c r="A12" s="15" t="s">
        <v>547</v>
      </c>
    </row>
    <row r="14" spans="1:12" ht="32.25" customHeight="1">
      <c r="A14" s="380" t="s">
        <v>539</v>
      </c>
      <c r="B14" s="380"/>
      <c r="C14" s="380"/>
      <c r="D14" s="380"/>
      <c r="E14" s="380"/>
      <c r="F14" s="380"/>
      <c r="G14" s="380"/>
      <c r="H14" s="380"/>
      <c r="I14" s="380"/>
      <c r="J14" s="380"/>
      <c r="K14" s="380"/>
      <c r="L14" s="380"/>
    </row>
    <row r="15" spans="1:12" ht="30" customHeight="1">
      <c r="A15" s="386" t="s">
        <v>540</v>
      </c>
      <c r="B15" s="386"/>
      <c r="C15" s="386"/>
      <c r="D15" s="386"/>
      <c r="E15" s="386"/>
      <c r="F15" s="386"/>
      <c r="G15" s="386"/>
      <c r="H15" s="386"/>
      <c r="I15" s="386"/>
      <c r="J15" s="386"/>
      <c r="K15" s="386"/>
      <c r="L15" s="386"/>
    </row>
    <row r="16" spans="1:12" s="64" customFormat="1">
      <c r="A16" s="60" t="s">
        <v>541</v>
      </c>
      <c r="B16" s="60" t="s">
        <v>542</v>
      </c>
      <c r="C16" s="60" t="s">
        <v>543</v>
      </c>
      <c r="D16" s="60" t="s">
        <v>544</v>
      </c>
      <c r="E16" s="60" t="s">
        <v>545</v>
      </c>
      <c r="F16" s="60" t="s">
        <v>181</v>
      </c>
      <c r="G16" s="60" t="s">
        <v>182</v>
      </c>
    </row>
    <row r="17" spans="1:7">
      <c r="A17" s="61" t="s">
        <v>523</v>
      </c>
      <c r="B17" s="65">
        <v>17204.22</v>
      </c>
      <c r="C17" s="65">
        <v>3.5190000000000001</v>
      </c>
      <c r="D17" s="65">
        <v>60541.64</v>
      </c>
      <c r="E17" s="65">
        <v>1.72</v>
      </c>
      <c r="F17" s="65">
        <v>4.32</v>
      </c>
      <c r="G17" s="65">
        <v>74322.22</v>
      </c>
    </row>
    <row r="18" spans="1:7">
      <c r="A18" s="61" t="s">
        <v>75</v>
      </c>
      <c r="B18" s="65">
        <v>536.85</v>
      </c>
      <c r="C18" s="65">
        <v>3.5190000000000001</v>
      </c>
      <c r="D18" s="65">
        <v>1889.16</v>
      </c>
      <c r="E18" s="65">
        <v>0.05</v>
      </c>
      <c r="F18" s="65">
        <v>4.32</v>
      </c>
      <c r="G18" s="65">
        <v>2319.17</v>
      </c>
    </row>
    <row r="19" spans="1:7">
      <c r="A19" s="61" t="s">
        <v>76</v>
      </c>
      <c r="B19" s="65">
        <v>842.37</v>
      </c>
      <c r="C19" s="65">
        <v>3.5190000000000001</v>
      </c>
      <c r="D19" s="65">
        <v>2964.31</v>
      </c>
      <c r="E19" s="65">
        <v>0.08</v>
      </c>
      <c r="F19" s="65">
        <v>4.32</v>
      </c>
      <c r="G19" s="65">
        <v>3639.05</v>
      </c>
    </row>
    <row r="20" spans="1:7" s="45" customFormat="1" ht="12.75" thickBot="1">
      <c r="A20" s="66" t="s">
        <v>77</v>
      </c>
      <c r="B20" s="67">
        <f>SUBTOTAL(109,Tabla48[Mineral Comprado (toneladas)])</f>
        <v>18583.439999999999</v>
      </c>
      <c r="C20" s="68"/>
      <c r="D20" s="67">
        <f>SUBTOTAL(109,Tabla48[Total Hg (onzas)])</f>
        <v>65395.11</v>
      </c>
      <c r="E20" s="69">
        <f>SUBTOTAL(109,Tabla48[Total Hg (toneladas)])</f>
        <v>1.85</v>
      </c>
      <c r="F20" s="68"/>
      <c r="G20" s="67">
        <f>SUBTOTAL(109,Tabla48[Total H2O (cubic meters) Total H2O (metros cúbicos)])</f>
        <v>80280.44</v>
      </c>
    </row>
    <row r="21" spans="1:7" ht="45.75" customHeight="1" thickTop="1">
      <c r="A21" s="387" t="s">
        <v>546</v>
      </c>
      <c r="B21" s="388"/>
      <c r="C21" s="388"/>
      <c r="D21" s="388"/>
      <c r="E21" s="388"/>
      <c r="F21" s="388"/>
      <c r="G21" s="388"/>
    </row>
  </sheetData>
  <mergeCells count="5">
    <mergeCell ref="A11:L11"/>
    <mergeCell ref="A14:L14"/>
    <mergeCell ref="A15:L15"/>
    <mergeCell ref="A21:G21"/>
    <mergeCell ref="A1:L1"/>
  </mergeCells>
  <pageMargins left="0.7" right="0.7" top="0.75" bottom="0.75" header="0.3" footer="0.3"/>
  <pageSetup orientation="portrait" r:id="rId1"/>
  <drawing r:id="rId2"/>
  <legacyDrawing r:id="rId3"/>
  <tableParts count="2">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691C1-15FD-499F-965A-AE8A1E365BAE}">
  <dimension ref="A1:L45"/>
  <sheetViews>
    <sheetView showGridLines="0" zoomScaleNormal="100" workbookViewId="0">
      <selection activeCell="A40" sqref="A40"/>
    </sheetView>
  </sheetViews>
  <sheetFormatPr defaultColWidth="11.42578125" defaultRowHeight="15"/>
  <cols>
    <col min="1" max="1" width="31.85546875" style="10" bestFit="1" customWidth="1"/>
    <col min="2" max="2" width="53" style="10" customWidth="1"/>
    <col min="3" max="3" width="50.85546875" style="10" customWidth="1"/>
    <col min="4" max="4" width="53" style="10" customWidth="1"/>
    <col min="5" max="5" width="73.42578125" style="10" customWidth="1"/>
    <col min="6" max="6" width="60" style="10" bestFit="1" customWidth="1"/>
    <col min="7" max="7" width="24.42578125" style="10" customWidth="1"/>
    <col min="8" max="8" width="25.42578125" style="10" customWidth="1"/>
    <col min="9" max="16384" width="11.42578125" style="10"/>
  </cols>
  <sheetData>
    <row r="1" spans="1:12" s="71" customFormat="1" ht="30" customHeight="1" thickBot="1">
      <c r="A1" s="364" t="s">
        <v>552</v>
      </c>
      <c r="B1" s="365"/>
      <c r="C1" s="365"/>
      <c r="D1" s="365"/>
      <c r="E1" s="365"/>
      <c r="F1" s="365"/>
      <c r="G1" s="365"/>
      <c r="H1" s="365"/>
      <c r="I1" s="365"/>
      <c r="J1" s="365"/>
      <c r="K1" s="365"/>
      <c r="L1" s="365"/>
    </row>
    <row r="2" spans="1:12">
      <c r="A2" s="15" t="s">
        <v>78</v>
      </c>
    </row>
    <row r="3" spans="1:12">
      <c r="D3" s="33"/>
      <c r="E3" s="33"/>
      <c r="F3" s="33"/>
      <c r="G3" s="33"/>
    </row>
    <row r="4" spans="1:12" s="64" customFormat="1" ht="14.25" customHeight="1">
      <c r="A4" s="95" t="s">
        <v>556</v>
      </c>
      <c r="B4" s="95" t="s">
        <v>557</v>
      </c>
      <c r="C4" s="95" t="s">
        <v>558</v>
      </c>
      <c r="D4" s="96" t="s">
        <v>559</v>
      </c>
      <c r="E4" s="96" t="s">
        <v>560</v>
      </c>
      <c r="F4" s="96" t="s">
        <v>561</v>
      </c>
      <c r="G4" s="96" t="s">
        <v>562</v>
      </c>
    </row>
    <row r="5" spans="1:12">
      <c r="A5" s="61" t="s">
        <v>189</v>
      </c>
      <c r="B5" s="28" t="s">
        <v>553</v>
      </c>
      <c r="C5" s="28" t="s">
        <v>565</v>
      </c>
      <c r="D5" s="28" t="s">
        <v>566</v>
      </c>
      <c r="E5" s="73">
        <v>3.59</v>
      </c>
      <c r="F5" s="28" t="s">
        <v>564</v>
      </c>
      <c r="G5" s="61" t="s">
        <v>563</v>
      </c>
    </row>
    <row r="6" spans="1:12" ht="24">
      <c r="A6" s="61" t="s">
        <v>195</v>
      </c>
      <c r="B6" s="28" t="s">
        <v>554</v>
      </c>
      <c r="C6" s="28" t="s">
        <v>565</v>
      </c>
      <c r="D6" s="28" t="s">
        <v>567</v>
      </c>
      <c r="E6" s="73">
        <v>2.87</v>
      </c>
      <c r="F6" s="28" t="s">
        <v>564</v>
      </c>
      <c r="G6" s="61" t="s">
        <v>563</v>
      </c>
    </row>
    <row r="7" spans="1:12">
      <c r="A7" s="61" t="s">
        <v>387</v>
      </c>
      <c r="B7" s="28" t="s">
        <v>555</v>
      </c>
      <c r="C7" s="28" t="s">
        <v>79</v>
      </c>
      <c r="D7" s="28" t="s">
        <v>79</v>
      </c>
      <c r="E7" s="73" t="s">
        <v>79</v>
      </c>
      <c r="F7" s="28" t="s">
        <v>79</v>
      </c>
      <c r="G7" s="28" t="s">
        <v>79</v>
      </c>
    </row>
    <row r="8" spans="1:12">
      <c r="A8" s="61" t="s">
        <v>56</v>
      </c>
      <c r="B8" s="28" t="s">
        <v>555</v>
      </c>
      <c r="C8" s="28" t="s">
        <v>79</v>
      </c>
      <c r="D8" s="28" t="s">
        <v>79</v>
      </c>
      <c r="E8" s="73" t="s">
        <v>79</v>
      </c>
      <c r="F8" s="28" t="s">
        <v>79</v>
      </c>
      <c r="G8" s="28" t="s">
        <v>79</v>
      </c>
    </row>
    <row r="9" spans="1:12" ht="27.75" customHeight="1">
      <c r="A9" s="379" t="s">
        <v>604</v>
      </c>
      <c r="B9" s="393"/>
      <c r="C9" s="393"/>
      <c r="D9" s="393"/>
      <c r="E9" s="393"/>
      <c r="F9" s="393"/>
      <c r="G9" s="393"/>
    </row>
    <row r="11" spans="1:12" s="71" customFormat="1" ht="30" customHeight="1" thickBot="1">
      <c r="A11" s="364" t="s">
        <v>568</v>
      </c>
      <c r="B11" s="365"/>
      <c r="C11" s="365"/>
      <c r="D11" s="365"/>
      <c r="E11" s="365"/>
      <c r="F11" s="365"/>
      <c r="G11" s="365"/>
      <c r="H11" s="365"/>
      <c r="I11" s="365"/>
      <c r="J11" s="365"/>
      <c r="K11" s="365"/>
      <c r="L11" s="365"/>
    </row>
    <row r="12" spans="1:12">
      <c r="A12" s="15" t="s">
        <v>80</v>
      </c>
    </row>
    <row r="14" spans="1:12" s="64" customFormat="1" ht="23.25" customHeight="1">
      <c r="A14" s="95" t="s">
        <v>525</v>
      </c>
      <c r="B14" s="95" t="s">
        <v>569</v>
      </c>
      <c r="C14" s="95" t="s">
        <v>570</v>
      </c>
      <c r="D14" s="95" t="s">
        <v>571</v>
      </c>
      <c r="E14" s="95" t="s">
        <v>572</v>
      </c>
      <c r="F14" s="95" t="s">
        <v>573</v>
      </c>
      <c r="G14" s="95" t="s">
        <v>574</v>
      </c>
      <c r="H14" s="95" t="s">
        <v>575</v>
      </c>
    </row>
    <row r="15" spans="1:12" s="64" customFormat="1">
      <c r="A15" s="74" t="s">
        <v>195</v>
      </c>
      <c r="B15" s="75">
        <v>0.45</v>
      </c>
      <c r="C15" s="74" t="s">
        <v>81</v>
      </c>
      <c r="D15" s="76">
        <v>0.3</v>
      </c>
      <c r="E15" s="72" t="s">
        <v>81</v>
      </c>
      <c r="F15" s="72" t="s">
        <v>563</v>
      </c>
      <c r="G15" s="72" t="s">
        <v>82</v>
      </c>
      <c r="H15" s="72" t="s">
        <v>576</v>
      </c>
    </row>
    <row r="16" spans="1:12" s="64" customFormat="1">
      <c r="A16" s="74" t="s">
        <v>195</v>
      </c>
      <c r="B16" s="75">
        <v>0.37</v>
      </c>
      <c r="C16" s="74" t="s">
        <v>83</v>
      </c>
      <c r="D16" s="76">
        <v>0</v>
      </c>
      <c r="E16" s="72" t="s">
        <v>1</v>
      </c>
      <c r="F16" s="72" t="s">
        <v>1</v>
      </c>
      <c r="G16" s="72" t="s">
        <v>180</v>
      </c>
      <c r="H16" s="72" t="s">
        <v>576</v>
      </c>
    </row>
    <row r="17" spans="1:12" s="64" customFormat="1" ht="15.75" thickBot="1">
      <c r="A17" s="77" t="s">
        <v>77</v>
      </c>
      <c r="B17" s="78">
        <f>SUBTOTAL(109,Tabla21[Tamaño de hábitat protegido (1) en km2])</f>
        <v>0.82000000000000006</v>
      </c>
      <c r="C17" s="77"/>
      <c r="D17" s="79">
        <f>SUBTOTAL(109,Tabla21[Tamaño del hábitat restaurado en Km2])</f>
        <v>0.3</v>
      </c>
      <c r="E17" s="80"/>
      <c r="F17" s="80"/>
      <c r="G17" s="80"/>
      <c r="H17" s="80">
        <f>SUBTOTAL(103,Tabla21[Estado de la zona])</f>
        <v>2</v>
      </c>
    </row>
    <row r="18" spans="1:12" ht="33" customHeight="1" thickTop="1">
      <c r="A18" s="360" t="s">
        <v>577</v>
      </c>
      <c r="B18" s="360"/>
      <c r="C18" s="360"/>
      <c r="D18" s="360"/>
      <c r="E18" s="360"/>
      <c r="F18" s="360"/>
      <c r="G18" s="360"/>
      <c r="H18" s="360"/>
    </row>
    <row r="19" spans="1:12" s="71" customFormat="1" ht="30" customHeight="1" thickBot="1">
      <c r="A19" s="364" t="s">
        <v>578</v>
      </c>
      <c r="B19" s="365"/>
      <c r="C19" s="365"/>
      <c r="D19" s="365"/>
      <c r="E19" s="365"/>
      <c r="F19" s="365"/>
      <c r="G19" s="365"/>
      <c r="H19" s="365"/>
      <c r="I19" s="365"/>
      <c r="J19" s="365"/>
      <c r="K19" s="365"/>
      <c r="L19" s="365"/>
    </row>
    <row r="20" spans="1:12">
      <c r="A20" s="15" t="s">
        <v>549</v>
      </c>
    </row>
    <row r="22" spans="1:12" ht="60">
      <c r="A22" s="54" t="s">
        <v>579</v>
      </c>
      <c r="B22" s="54" t="s">
        <v>580</v>
      </c>
      <c r="C22" s="54" t="s">
        <v>581</v>
      </c>
      <c r="D22" s="54" t="s">
        <v>582</v>
      </c>
      <c r="E22" s="54" t="s">
        <v>583</v>
      </c>
    </row>
    <row r="23" spans="1:12">
      <c r="A23" s="28" t="s">
        <v>189</v>
      </c>
      <c r="B23" s="81">
        <f>259.26/100</f>
        <v>2.5926</v>
      </c>
      <c r="C23" s="81">
        <f>107/100</f>
        <v>1.07</v>
      </c>
      <c r="D23" s="81">
        <f>7/100</f>
        <v>7.0000000000000007E-2</v>
      </c>
      <c r="E23" s="81">
        <f>359.47/100</f>
        <v>3.5947000000000005</v>
      </c>
      <c r="F23" s="82"/>
    </row>
    <row r="24" spans="1:12">
      <c r="A24" s="61" t="s">
        <v>195</v>
      </c>
      <c r="B24" s="81">
        <f>287/100</f>
        <v>2.87</v>
      </c>
      <c r="C24" s="81">
        <f>30.9/100</f>
        <v>0.309</v>
      </c>
      <c r="D24" s="81">
        <v>0</v>
      </c>
      <c r="E24" s="81">
        <f>317.9/100</f>
        <v>3.1789999999999998</v>
      </c>
    </row>
    <row r="25" spans="1:12">
      <c r="A25" s="61" t="s">
        <v>54</v>
      </c>
      <c r="B25" s="81">
        <v>0</v>
      </c>
      <c r="C25" s="81">
        <v>0</v>
      </c>
      <c r="D25" s="81">
        <v>0</v>
      </c>
      <c r="E25" s="81">
        <v>0</v>
      </c>
    </row>
    <row r="26" spans="1:12">
      <c r="A26" s="61" t="s">
        <v>56</v>
      </c>
      <c r="B26" s="81">
        <v>0</v>
      </c>
      <c r="C26" s="81">
        <v>0</v>
      </c>
      <c r="D26" s="81">
        <v>0</v>
      </c>
      <c r="E26" s="81">
        <v>0</v>
      </c>
    </row>
    <row r="27" spans="1:12" s="12" customFormat="1" ht="12.75" thickBot="1">
      <c r="A27" s="66" t="s">
        <v>77</v>
      </c>
      <c r="B27" s="83">
        <f>SUBTOTAL(109,Tabla22[Cantidd total de suelo alterado al inicio del período de informe (saldo de apertura) - km2])</f>
        <v>5.4626000000000001</v>
      </c>
      <c r="C27" s="83">
        <f>SUBTOTAL(109,Tabla22[Nuevo suelo alterado durante  durante 2021 - Km2])</f>
        <v>1.379</v>
      </c>
      <c r="D27" s="83">
        <f>SUBTOTAL(109,Tabla22[Rehabilitación lograda (para el uso final acordado) durante el periodo de informe  - Km2 (1) 
])</f>
        <v>7.0000000000000007E-2</v>
      </c>
      <c r="E27" s="83">
        <f>SUBTOTAL(109,Tabla22[Total de suelo alterado todavía no rehabilitado para el uso final acordado al término del periodo de informe (saldo de cierre)  - km2])</f>
        <v>6.7736999999999998</v>
      </c>
    </row>
    <row r="28" spans="1:12" ht="30" customHeight="1" thickTop="1">
      <c r="A28" s="360" t="s">
        <v>584</v>
      </c>
      <c r="B28" s="360"/>
      <c r="C28" s="360"/>
      <c r="D28" s="360"/>
      <c r="E28" s="360"/>
    </row>
    <row r="30" spans="1:12" s="71" customFormat="1" ht="30" customHeight="1" thickBot="1">
      <c r="A30" s="364" t="s">
        <v>585</v>
      </c>
      <c r="B30" s="365"/>
      <c r="C30" s="365"/>
      <c r="D30" s="365"/>
      <c r="E30" s="365"/>
      <c r="F30" s="365"/>
      <c r="G30" s="365"/>
      <c r="H30" s="365"/>
      <c r="I30" s="365"/>
      <c r="J30" s="365"/>
      <c r="K30" s="365"/>
      <c r="L30" s="365"/>
    </row>
    <row r="31" spans="1:12">
      <c r="A31" s="15" t="s">
        <v>550</v>
      </c>
    </row>
    <row r="33" spans="1:12" s="64" customFormat="1" ht="60">
      <c r="A33" s="97" t="s">
        <v>586</v>
      </c>
      <c r="B33" s="98" t="s">
        <v>587</v>
      </c>
      <c r="C33" s="98" t="s">
        <v>588</v>
      </c>
      <c r="D33" s="98" t="s">
        <v>589</v>
      </c>
      <c r="E33" s="98" t="s">
        <v>590</v>
      </c>
      <c r="F33" s="99" t="s">
        <v>591</v>
      </c>
    </row>
    <row r="34" spans="1:12">
      <c r="A34" s="84" t="s">
        <v>189</v>
      </c>
      <c r="B34" s="85" t="s">
        <v>592</v>
      </c>
      <c r="C34" s="391" t="s">
        <v>593</v>
      </c>
      <c r="D34" s="85" t="s">
        <v>592</v>
      </c>
      <c r="E34" s="85" t="s">
        <v>592</v>
      </c>
      <c r="F34" s="86" t="s">
        <v>592</v>
      </c>
    </row>
    <row r="35" spans="1:12">
      <c r="A35" s="87" t="s">
        <v>195</v>
      </c>
      <c r="B35" s="85" t="s">
        <v>592</v>
      </c>
      <c r="C35" s="379"/>
      <c r="D35" s="85" t="s">
        <v>592</v>
      </c>
      <c r="E35" s="85" t="s">
        <v>592</v>
      </c>
      <c r="F35" s="86" t="s">
        <v>592</v>
      </c>
    </row>
    <row r="36" spans="1:12">
      <c r="A36" s="87" t="s">
        <v>54</v>
      </c>
      <c r="B36" s="85" t="s">
        <v>84</v>
      </c>
      <c r="C36" s="379"/>
      <c r="D36" s="85" t="s">
        <v>84</v>
      </c>
      <c r="E36" s="85" t="s">
        <v>84</v>
      </c>
      <c r="F36" s="86" t="s">
        <v>84</v>
      </c>
    </row>
    <row r="37" spans="1:12" ht="48" customHeight="1">
      <c r="A37" s="88" t="s">
        <v>56</v>
      </c>
      <c r="B37" s="89" t="s">
        <v>84</v>
      </c>
      <c r="C37" s="392"/>
      <c r="D37" s="89" t="s">
        <v>84</v>
      </c>
      <c r="E37" s="89" t="s">
        <v>84</v>
      </c>
      <c r="F37" s="90" t="s">
        <v>84</v>
      </c>
    </row>
    <row r="39" spans="1:12" s="71" customFormat="1" ht="30" customHeight="1" thickBot="1">
      <c r="A39" s="364" t="s">
        <v>594</v>
      </c>
      <c r="B39" s="365"/>
      <c r="C39" s="365"/>
      <c r="D39" s="365"/>
      <c r="E39" s="365"/>
      <c r="F39" s="365"/>
      <c r="G39" s="365"/>
      <c r="H39" s="365"/>
      <c r="I39" s="365"/>
      <c r="J39" s="365"/>
      <c r="K39" s="365"/>
      <c r="L39" s="365"/>
    </row>
    <row r="40" spans="1:12">
      <c r="A40" s="15" t="s">
        <v>551</v>
      </c>
    </row>
    <row r="42" spans="1:12" ht="22.5" customHeight="1">
      <c r="A42" s="57" t="s">
        <v>595</v>
      </c>
      <c r="B42" s="58" t="s">
        <v>596</v>
      </c>
      <c r="C42" s="58" t="s">
        <v>597</v>
      </c>
      <c r="D42" s="58" t="s">
        <v>598</v>
      </c>
      <c r="E42" s="59" t="s">
        <v>602</v>
      </c>
    </row>
    <row r="43" spans="1:12" ht="60">
      <c r="A43" s="91" t="s">
        <v>189</v>
      </c>
      <c r="B43" s="92" t="s">
        <v>601</v>
      </c>
      <c r="C43" s="85" t="s">
        <v>592</v>
      </c>
      <c r="D43" s="85" t="s">
        <v>592</v>
      </c>
      <c r="E43" s="389" t="s">
        <v>603</v>
      </c>
    </row>
    <row r="44" spans="1:12" ht="36">
      <c r="A44" s="93" t="s">
        <v>195</v>
      </c>
      <c r="B44" s="94" t="s">
        <v>599</v>
      </c>
      <c r="C44" s="89" t="s">
        <v>592</v>
      </c>
      <c r="D44" s="89" t="s">
        <v>592</v>
      </c>
      <c r="E44" s="390"/>
    </row>
    <row r="45" spans="1:12" ht="30" customHeight="1">
      <c r="A45" s="360" t="s">
        <v>600</v>
      </c>
      <c r="B45" s="360"/>
      <c r="C45" s="360"/>
      <c r="D45" s="360"/>
      <c r="E45" s="360"/>
    </row>
  </sheetData>
  <mergeCells count="11">
    <mergeCell ref="A45:E45"/>
    <mergeCell ref="A1:L1"/>
    <mergeCell ref="E43:E44"/>
    <mergeCell ref="A30:L30"/>
    <mergeCell ref="C34:C37"/>
    <mergeCell ref="A39:L39"/>
    <mergeCell ref="A11:L11"/>
    <mergeCell ref="A19:L19"/>
    <mergeCell ref="A18:H18"/>
    <mergeCell ref="A28:E28"/>
    <mergeCell ref="A9:G9"/>
  </mergeCells>
  <phoneticPr fontId="17" type="noConversion"/>
  <pageMargins left="0.7" right="0.7" top="0.75" bottom="0.75" header="0.3" footer="0.3"/>
  <pageSetup orientation="portrait" r:id="rId1"/>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846B-EB2F-4A1E-A838-0831DE3B4D72}">
  <dimension ref="A1:M47"/>
  <sheetViews>
    <sheetView showGridLines="0" zoomScale="110" zoomScaleNormal="110" workbookViewId="0">
      <selection activeCell="B50" sqref="B50"/>
    </sheetView>
  </sheetViews>
  <sheetFormatPr defaultColWidth="11.42578125" defaultRowHeight="15"/>
  <cols>
    <col min="1" max="1" width="46.42578125" style="10" customWidth="1"/>
    <col min="2" max="2" width="20.42578125" style="10" customWidth="1"/>
    <col min="3" max="3" width="39.140625" style="10" bestFit="1" customWidth="1"/>
    <col min="4" max="4" width="17.140625" style="10" customWidth="1"/>
    <col min="5" max="5" width="23" style="10" customWidth="1"/>
    <col min="6" max="6" width="11.42578125" style="10"/>
    <col min="7" max="7" width="25.42578125" style="10" customWidth="1"/>
    <col min="8" max="8" width="11.42578125" style="10"/>
    <col min="9" max="9" width="13.140625" style="10" bestFit="1" customWidth="1"/>
    <col min="10" max="16384" width="11.42578125" style="10"/>
  </cols>
  <sheetData>
    <row r="1" spans="1:12" s="71" customFormat="1" ht="30" customHeight="1" thickBot="1">
      <c r="A1" s="364" t="s">
        <v>605</v>
      </c>
      <c r="B1" s="365"/>
      <c r="C1" s="365"/>
      <c r="D1" s="365"/>
      <c r="E1" s="365"/>
      <c r="F1" s="365"/>
      <c r="G1" s="365"/>
      <c r="H1" s="365"/>
      <c r="I1" s="365"/>
      <c r="J1" s="365"/>
      <c r="K1" s="365"/>
      <c r="L1" s="365"/>
    </row>
    <row r="2" spans="1:12">
      <c r="A2" s="15" t="s">
        <v>85</v>
      </c>
    </row>
    <row r="4" spans="1:12">
      <c r="A4" s="394" t="s">
        <v>86</v>
      </c>
      <c r="B4" s="395">
        <v>2020</v>
      </c>
      <c r="C4" s="395"/>
      <c r="D4" s="395"/>
      <c r="E4" s="396">
        <v>2021</v>
      </c>
      <c r="F4" s="397"/>
      <c r="G4" s="397"/>
      <c r="H4" s="397"/>
      <c r="I4" s="397"/>
      <c r="J4" s="398"/>
    </row>
    <row r="5" spans="1:12" s="64" customFormat="1">
      <c r="A5" s="394"/>
      <c r="B5" s="126" t="s">
        <v>189</v>
      </c>
      <c r="C5" s="126" t="s">
        <v>195</v>
      </c>
      <c r="D5" s="126" t="s">
        <v>77</v>
      </c>
      <c r="E5" s="126" t="s">
        <v>189</v>
      </c>
      <c r="F5" s="126" t="s">
        <v>87</v>
      </c>
      <c r="G5" s="126" t="s">
        <v>195</v>
      </c>
      <c r="H5" s="126" t="s">
        <v>87</v>
      </c>
      <c r="I5" s="126" t="s">
        <v>77</v>
      </c>
      <c r="J5" s="126" t="s">
        <v>87</v>
      </c>
    </row>
    <row r="6" spans="1:12">
      <c r="A6" s="401" t="s">
        <v>606</v>
      </c>
      <c r="B6" s="402"/>
      <c r="C6" s="402"/>
      <c r="D6" s="402"/>
      <c r="E6" s="402"/>
      <c r="F6" s="402"/>
      <c r="G6" s="402"/>
      <c r="H6" s="402"/>
      <c r="I6" s="402"/>
      <c r="J6" s="403"/>
    </row>
    <row r="7" spans="1:12">
      <c r="A7" s="100" t="s">
        <v>607</v>
      </c>
      <c r="B7" s="101">
        <f>SUM(B8:B14)</f>
        <v>494931</v>
      </c>
      <c r="C7" s="101">
        <f>SUM(C8:C14)</f>
        <v>235288.8</v>
      </c>
      <c r="D7" s="102">
        <f>SUM(B7:C7)</f>
        <v>730219.8</v>
      </c>
      <c r="E7" s="101">
        <f>SUM(E8:E14)</f>
        <v>469301</v>
      </c>
      <c r="F7" s="103">
        <f>E7/E25</f>
        <v>0.6989220568787009</v>
      </c>
      <c r="G7" s="101">
        <f>SUM(G8:G14)</f>
        <v>533714</v>
      </c>
      <c r="H7" s="103">
        <f>G7/G25</f>
        <v>0.76154559593624704</v>
      </c>
      <c r="I7" s="102">
        <f>SUM(E7+G7)</f>
        <v>1003015</v>
      </c>
      <c r="J7" s="103">
        <f>I7/I25</f>
        <v>0.73090387336824325</v>
      </c>
    </row>
    <row r="8" spans="1:12">
      <c r="A8" s="104" t="s">
        <v>608</v>
      </c>
      <c r="B8" s="105">
        <v>494931</v>
      </c>
      <c r="C8" s="105">
        <v>235281</v>
      </c>
      <c r="D8" s="106">
        <f t="shared" ref="D8:E14" si="0">SUM(B8:C8)</f>
        <v>730212</v>
      </c>
      <c r="E8" s="107">
        <v>464724</v>
      </c>
      <c r="F8" s="108">
        <f>E8/E25</f>
        <v>0.69210560804451171</v>
      </c>
      <c r="G8" s="107">
        <v>533705</v>
      </c>
      <c r="H8" s="108">
        <f>G8/G25</f>
        <v>0.76153275402023313</v>
      </c>
      <c r="I8" s="106">
        <f t="shared" ref="I8:I14" si="1">SUM(E8+G8)</f>
        <v>998429</v>
      </c>
      <c r="J8" s="108">
        <f>I8/I25</f>
        <v>0.72756202388117996</v>
      </c>
    </row>
    <row r="9" spans="1:12">
      <c r="A9" s="104" t="s">
        <v>609</v>
      </c>
      <c r="B9" s="105">
        <v>0</v>
      </c>
      <c r="C9" s="105">
        <v>0</v>
      </c>
      <c r="D9" s="106">
        <f t="shared" si="0"/>
        <v>0</v>
      </c>
      <c r="E9" s="105">
        <v>0</v>
      </c>
      <c r="F9" s="108">
        <f>E9/E25</f>
        <v>0</v>
      </c>
      <c r="G9" s="105">
        <v>0</v>
      </c>
      <c r="H9" s="108">
        <f>G9/G25</f>
        <v>0</v>
      </c>
      <c r="I9" s="106">
        <f t="shared" si="1"/>
        <v>0</v>
      </c>
      <c r="J9" s="108">
        <f>I9/I25</f>
        <v>0</v>
      </c>
    </row>
    <row r="10" spans="1:12">
      <c r="A10" s="104" t="s">
        <v>610</v>
      </c>
      <c r="B10" s="105">
        <v>0</v>
      </c>
      <c r="C10" s="105">
        <v>0</v>
      </c>
      <c r="D10" s="106">
        <f t="shared" si="0"/>
        <v>0</v>
      </c>
      <c r="E10" s="105">
        <v>0</v>
      </c>
      <c r="F10" s="108">
        <f>E10/E25</f>
        <v>0</v>
      </c>
      <c r="G10" s="105">
        <v>0</v>
      </c>
      <c r="H10" s="108">
        <f>G10/G25</f>
        <v>0</v>
      </c>
      <c r="I10" s="106">
        <f t="shared" si="1"/>
        <v>0</v>
      </c>
      <c r="J10" s="108">
        <f>I10/I25</f>
        <v>0</v>
      </c>
    </row>
    <row r="11" spans="1:12">
      <c r="A11" s="104" t="s">
        <v>611</v>
      </c>
      <c r="B11" s="105">
        <v>0</v>
      </c>
      <c r="C11" s="105">
        <v>0</v>
      </c>
      <c r="D11" s="106">
        <f t="shared" si="0"/>
        <v>0</v>
      </c>
      <c r="E11" s="105">
        <v>0</v>
      </c>
      <c r="F11" s="108">
        <f>E11/E25</f>
        <v>0</v>
      </c>
      <c r="G11" s="105">
        <v>0</v>
      </c>
      <c r="H11" s="108">
        <f>G11/G25</f>
        <v>0</v>
      </c>
      <c r="I11" s="106">
        <f t="shared" si="1"/>
        <v>0</v>
      </c>
      <c r="J11" s="108">
        <f>I11/I25</f>
        <v>0</v>
      </c>
    </row>
    <row r="12" spans="1:12">
      <c r="A12" s="104" t="s">
        <v>612</v>
      </c>
      <c r="B12" s="105">
        <v>0</v>
      </c>
      <c r="C12" s="105">
        <v>7.8</v>
      </c>
      <c r="D12" s="106">
        <f t="shared" si="0"/>
        <v>7.8</v>
      </c>
      <c r="E12" s="105">
        <v>4577</v>
      </c>
      <c r="F12" s="108">
        <f>E12/E25</f>
        <v>6.8164488341891745E-3</v>
      </c>
      <c r="G12" s="105">
        <v>9</v>
      </c>
      <c r="H12" s="108">
        <f>G12/G25</f>
        <v>1.2841916013869269E-5</v>
      </c>
      <c r="I12" s="106">
        <f t="shared" si="1"/>
        <v>4586</v>
      </c>
      <c r="J12" s="108">
        <f>I12/I25</f>
        <v>3.3418494870632678E-3</v>
      </c>
    </row>
    <row r="13" spans="1:12">
      <c r="A13" s="104" t="s">
        <v>613</v>
      </c>
      <c r="B13" s="105">
        <v>0</v>
      </c>
      <c r="C13" s="105">
        <v>0</v>
      </c>
      <c r="D13" s="106">
        <f t="shared" si="0"/>
        <v>0</v>
      </c>
      <c r="E13" s="107">
        <f t="shared" si="0"/>
        <v>0</v>
      </c>
      <c r="F13" s="108">
        <f>E13/E25</f>
        <v>0</v>
      </c>
      <c r="G13" s="105">
        <v>0</v>
      </c>
      <c r="H13" s="108">
        <f>G13/G25</f>
        <v>0</v>
      </c>
      <c r="I13" s="106">
        <f t="shared" si="1"/>
        <v>0</v>
      </c>
      <c r="J13" s="108">
        <f>I13/I25</f>
        <v>0</v>
      </c>
    </row>
    <row r="14" spans="1:12">
      <c r="A14" s="104" t="s">
        <v>614</v>
      </c>
      <c r="B14" s="105">
        <v>0</v>
      </c>
      <c r="C14" s="105">
        <v>0</v>
      </c>
      <c r="D14" s="106">
        <f t="shared" si="0"/>
        <v>0</v>
      </c>
      <c r="E14" s="107">
        <f t="shared" si="0"/>
        <v>0</v>
      </c>
      <c r="F14" s="108">
        <f>E14/E25</f>
        <v>0</v>
      </c>
      <c r="G14" s="105">
        <v>0</v>
      </c>
      <c r="H14" s="108">
        <f>G14/G25</f>
        <v>0</v>
      </c>
      <c r="I14" s="106">
        <f t="shared" si="1"/>
        <v>0</v>
      </c>
      <c r="J14" s="108">
        <f>I14/I25</f>
        <v>0</v>
      </c>
    </row>
    <row r="15" spans="1:12">
      <c r="A15" s="100" t="s">
        <v>615</v>
      </c>
      <c r="B15" s="101">
        <f>SUM(B16:B19)</f>
        <v>0</v>
      </c>
      <c r="C15" s="101">
        <f>SUM(C16:C19)</f>
        <v>0</v>
      </c>
      <c r="D15" s="102">
        <f t="shared" ref="D15:D20" si="2">SUM(B15:C15)</f>
        <v>0</v>
      </c>
      <c r="E15" s="101">
        <f>SUM(E16:E19)</f>
        <v>0</v>
      </c>
      <c r="F15" s="103">
        <f>E15/E25</f>
        <v>0</v>
      </c>
      <c r="G15" s="101">
        <f>SUM(G16:G19)</f>
        <v>0</v>
      </c>
      <c r="H15" s="103">
        <f>G15/G25</f>
        <v>0</v>
      </c>
      <c r="I15" s="102">
        <f>SUM(E15+G15)</f>
        <v>0</v>
      </c>
      <c r="J15" s="103">
        <f>I15/I25</f>
        <v>0</v>
      </c>
    </row>
    <row r="16" spans="1:12">
      <c r="A16" s="104" t="s">
        <v>616</v>
      </c>
      <c r="B16" s="105">
        <v>0</v>
      </c>
      <c r="C16" s="105">
        <v>0</v>
      </c>
      <c r="D16" s="106">
        <f t="shared" si="2"/>
        <v>0</v>
      </c>
      <c r="E16" s="105">
        <v>0</v>
      </c>
      <c r="F16" s="108">
        <f>E16/E25</f>
        <v>0</v>
      </c>
      <c r="G16" s="105">
        <v>0</v>
      </c>
      <c r="H16" s="109">
        <f>G16/G25</f>
        <v>0</v>
      </c>
      <c r="I16" s="106">
        <f>SUM(E16+G16)</f>
        <v>0</v>
      </c>
      <c r="J16" s="108">
        <f>I16/I25</f>
        <v>0</v>
      </c>
    </row>
    <row r="17" spans="1:13">
      <c r="A17" s="104" t="s">
        <v>617</v>
      </c>
      <c r="B17" s="105">
        <v>0</v>
      </c>
      <c r="C17" s="105">
        <v>0</v>
      </c>
      <c r="D17" s="106">
        <f t="shared" si="2"/>
        <v>0</v>
      </c>
      <c r="E17" s="105">
        <v>0</v>
      </c>
      <c r="F17" s="108">
        <f>E17/E25</f>
        <v>0</v>
      </c>
      <c r="G17" s="105">
        <v>0</v>
      </c>
      <c r="H17" s="109">
        <f>G17/G25</f>
        <v>0</v>
      </c>
      <c r="I17" s="106">
        <f t="shared" ref="I17:I19" si="3">SUM(E17+G17)</f>
        <v>0</v>
      </c>
      <c r="J17" s="108">
        <f>I17/I25</f>
        <v>0</v>
      </c>
    </row>
    <row r="18" spans="1:13">
      <c r="A18" s="104" t="s">
        <v>88</v>
      </c>
      <c r="B18" s="105">
        <v>0</v>
      </c>
      <c r="C18" s="105">
        <v>0</v>
      </c>
      <c r="D18" s="106">
        <f t="shared" si="2"/>
        <v>0</v>
      </c>
      <c r="E18" s="105">
        <v>0</v>
      </c>
      <c r="F18" s="108">
        <f>E18/E25</f>
        <v>0</v>
      </c>
      <c r="G18" s="105">
        <v>0</v>
      </c>
      <c r="H18" s="109">
        <f>G18/G25</f>
        <v>0</v>
      </c>
      <c r="I18" s="106">
        <f t="shared" si="3"/>
        <v>0</v>
      </c>
      <c r="J18" s="108">
        <f>I18/I25</f>
        <v>0</v>
      </c>
    </row>
    <row r="19" spans="1:13">
      <c r="A19" s="104" t="s">
        <v>618</v>
      </c>
      <c r="B19" s="105">
        <v>0</v>
      </c>
      <c r="C19" s="105">
        <v>0</v>
      </c>
      <c r="D19" s="106">
        <f t="shared" si="2"/>
        <v>0</v>
      </c>
      <c r="E19" s="105">
        <v>0</v>
      </c>
      <c r="F19" s="108">
        <f>E19/E25</f>
        <v>0</v>
      </c>
      <c r="G19" s="105">
        <v>0</v>
      </c>
      <c r="H19" s="109">
        <f>G19/G25</f>
        <v>0</v>
      </c>
      <c r="I19" s="106">
        <f t="shared" si="3"/>
        <v>0</v>
      </c>
      <c r="J19" s="108">
        <f>I19/I25</f>
        <v>0</v>
      </c>
    </row>
    <row r="20" spans="1:13">
      <c r="A20" s="100" t="s">
        <v>619</v>
      </c>
      <c r="B20" s="101">
        <f>SUM(B7+B15)</f>
        <v>494931</v>
      </c>
      <c r="C20" s="101">
        <f>SUM(C7+C15)</f>
        <v>235288.8</v>
      </c>
      <c r="D20" s="102">
        <f t="shared" si="2"/>
        <v>730219.8</v>
      </c>
      <c r="E20" s="101">
        <f>SUM(E7+E15)</f>
        <v>469301</v>
      </c>
      <c r="F20" s="103">
        <f>E20/E25</f>
        <v>0.6989220568787009</v>
      </c>
      <c r="G20" s="101">
        <f>SUM(G7+G15)</f>
        <v>533714</v>
      </c>
      <c r="H20" s="103">
        <f>G20/G25</f>
        <v>0.76154559593624704</v>
      </c>
      <c r="I20" s="102">
        <f>SUM(E20+G20)</f>
        <v>1003015</v>
      </c>
      <c r="J20" s="103">
        <f>I20/I25</f>
        <v>0.73090387336824325</v>
      </c>
    </row>
    <row r="21" spans="1:13">
      <c r="A21" s="401" t="s">
        <v>620</v>
      </c>
      <c r="B21" s="402"/>
      <c r="C21" s="402"/>
      <c r="D21" s="402"/>
      <c r="E21" s="402"/>
      <c r="F21" s="402"/>
      <c r="G21" s="402"/>
      <c r="H21" s="402"/>
      <c r="I21" s="402"/>
      <c r="J21" s="403"/>
    </row>
    <row r="22" spans="1:13" ht="24">
      <c r="A22" s="104" t="s">
        <v>621</v>
      </c>
      <c r="B22" s="105">
        <f>158105*0.6</f>
        <v>94863</v>
      </c>
      <c r="C22" s="105">
        <f>123641*0.6</f>
        <v>74184.599999999991</v>
      </c>
      <c r="D22" s="102">
        <f>SUM(B22:C22)</f>
        <v>169047.59999999998</v>
      </c>
      <c r="E22" s="105">
        <f>202163*0.6</f>
        <v>121297.79999999999</v>
      </c>
      <c r="F22" s="109">
        <f>E22/E25</f>
        <v>0.18064676587277947</v>
      </c>
      <c r="G22" s="105">
        <f>167116*0.6</f>
        <v>100269.59999999999</v>
      </c>
      <c r="H22" s="109">
        <f>G22/G25</f>
        <v>0.14307264243825177</v>
      </c>
      <c r="I22" s="106">
        <f>SUM(E22+G22)</f>
        <v>221567.39999999997</v>
      </c>
      <c r="J22" s="103">
        <f>I22/I25</f>
        <v>0.16145767597905403</v>
      </c>
      <c r="M22" s="127"/>
    </row>
    <row r="23" spans="1:13" ht="24">
      <c r="A23" s="104" t="s">
        <v>622</v>
      </c>
      <c r="B23" s="105">
        <f>158105*0.4</f>
        <v>63242</v>
      </c>
      <c r="C23" s="110">
        <f>123641*0.4</f>
        <v>49456.4</v>
      </c>
      <c r="D23" s="102">
        <f t="shared" ref="D23:D24" si="4">SUM(B23:C23)</f>
        <v>112698.4</v>
      </c>
      <c r="E23" s="105">
        <f>202163*0.4</f>
        <v>80865.200000000012</v>
      </c>
      <c r="F23" s="109">
        <f>E23/E25</f>
        <v>0.12043117724851966</v>
      </c>
      <c r="G23" s="110">
        <f>167116*0.4</f>
        <v>66846.400000000009</v>
      </c>
      <c r="H23" s="111">
        <f>G23/G25</f>
        <v>9.5381761625501202E-2</v>
      </c>
      <c r="I23" s="106">
        <f>SUM(E23+G23)</f>
        <v>147711.60000000003</v>
      </c>
      <c r="J23" s="103">
        <f>I23/I25</f>
        <v>0.10763845065270272</v>
      </c>
    </row>
    <row r="24" spans="1:13">
      <c r="A24" s="100" t="s">
        <v>623</v>
      </c>
      <c r="B24" s="101">
        <f>SUM(B22:B23)</f>
        <v>158105</v>
      </c>
      <c r="C24" s="112">
        <f>SUM(C22:C23)</f>
        <v>123641</v>
      </c>
      <c r="D24" s="102">
        <f t="shared" si="4"/>
        <v>281746</v>
      </c>
      <c r="E24" s="101">
        <f>SUM(E22:E23)</f>
        <v>202163</v>
      </c>
      <c r="F24" s="103">
        <f>E24/E25</f>
        <v>0.30107794312129915</v>
      </c>
      <c r="G24" s="101">
        <f>SUM(G22:G23)</f>
        <v>167116</v>
      </c>
      <c r="H24" s="103">
        <f>G24/G25</f>
        <v>0.23845440406375298</v>
      </c>
      <c r="I24" s="102">
        <f>SUM(E24+G24)</f>
        <v>369279</v>
      </c>
      <c r="J24" s="103">
        <f>I24/I25</f>
        <v>0.26909612663175675</v>
      </c>
    </row>
    <row r="25" spans="1:13" ht="19.5" customHeight="1" thickBot="1">
      <c r="A25" s="113" t="s">
        <v>624</v>
      </c>
      <c r="B25" s="114">
        <f>SUM(B20+B24)</f>
        <v>653036</v>
      </c>
      <c r="C25" s="114">
        <f>SUM(C20+C24)</f>
        <v>358929.8</v>
      </c>
      <c r="D25" s="115">
        <f>SUM(D20+D24)</f>
        <v>1011965.8</v>
      </c>
      <c r="E25" s="114">
        <f>SUM(E20+E24)</f>
        <v>671464</v>
      </c>
      <c r="F25" s="116">
        <f>(E20+E24)/E25</f>
        <v>1</v>
      </c>
      <c r="G25" s="114">
        <f>SUM(G20+G24)</f>
        <v>700830</v>
      </c>
      <c r="H25" s="116">
        <f>(G20+G24)/G25</f>
        <v>1</v>
      </c>
      <c r="I25" s="115">
        <f>SUM(I20+I24)</f>
        <v>1372294</v>
      </c>
      <c r="J25" s="117">
        <f>(I20+I24)/I25</f>
        <v>1</v>
      </c>
    </row>
    <row r="26" spans="1:13" ht="15.75" thickTop="1"/>
    <row r="28" spans="1:13" s="71" customFormat="1" ht="29.25" customHeight="1" thickBot="1">
      <c r="A28" s="364" t="s">
        <v>625</v>
      </c>
      <c r="B28" s="365"/>
      <c r="C28" s="365"/>
      <c r="D28" s="365"/>
      <c r="E28" s="365"/>
      <c r="F28" s="365"/>
      <c r="G28" s="365"/>
      <c r="H28" s="365"/>
      <c r="I28" s="365"/>
      <c r="J28" s="365"/>
      <c r="K28" s="365"/>
      <c r="L28" s="365"/>
    </row>
    <row r="29" spans="1:13">
      <c r="A29" s="15" t="s">
        <v>89</v>
      </c>
    </row>
    <row r="31" spans="1:13">
      <c r="A31" s="95" t="s">
        <v>189</v>
      </c>
      <c r="B31" s="95" t="s">
        <v>195</v>
      </c>
      <c r="C31" s="95" t="s">
        <v>626</v>
      </c>
    </row>
    <row r="32" spans="1:13">
      <c r="A32" s="118">
        <v>11.03</v>
      </c>
      <c r="B32" s="118">
        <v>6.86</v>
      </c>
      <c r="C32" s="119">
        <v>8.4</v>
      </c>
    </row>
    <row r="33" spans="1:12" ht="25.5" customHeight="1">
      <c r="A33" s="379" t="s">
        <v>627</v>
      </c>
      <c r="B33" s="379"/>
      <c r="C33" s="379"/>
    </row>
    <row r="36" spans="1:12" s="71" customFormat="1" ht="30" customHeight="1" thickBot="1">
      <c r="A36" s="364" t="s">
        <v>628</v>
      </c>
      <c r="B36" s="365"/>
      <c r="C36" s="365"/>
      <c r="D36" s="365"/>
      <c r="E36" s="365"/>
      <c r="F36" s="365"/>
      <c r="G36" s="365"/>
      <c r="H36" s="365"/>
      <c r="I36" s="365"/>
      <c r="J36" s="365"/>
      <c r="K36" s="365"/>
      <c r="L36" s="365"/>
    </row>
    <row r="37" spans="1:12">
      <c r="A37" s="15" t="s">
        <v>90</v>
      </c>
    </row>
    <row r="39" spans="1:12">
      <c r="A39" s="125" t="s">
        <v>525</v>
      </c>
      <c r="B39" s="125" t="s">
        <v>629</v>
      </c>
      <c r="C39" s="125" t="s">
        <v>630</v>
      </c>
      <c r="D39" s="125" t="s">
        <v>91</v>
      </c>
    </row>
    <row r="40" spans="1:12">
      <c r="A40" s="120" t="s">
        <v>189</v>
      </c>
      <c r="B40" s="107">
        <v>35911.9</v>
      </c>
      <c r="C40" s="107">
        <v>16734.59</v>
      </c>
      <c r="D40" s="121">
        <v>52646.48</v>
      </c>
    </row>
    <row r="41" spans="1:12">
      <c r="A41" s="120" t="s">
        <v>195</v>
      </c>
      <c r="B41" s="107">
        <v>38079.51</v>
      </c>
      <c r="C41" s="107">
        <v>13833.51</v>
      </c>
      <c r="D41" s="121">
        <v>51913.019</v>
      </c>
    </row>
    <row r="42" spans="1:12">
      <c r="A42" s="120" t="s">
        <v>387</v>
      </c>
      <c r="B42" s="107">
        <v>0</v>
      </c>
      <c r="C42" s="107">
        <v>0</v>
      </c>
      <c r="D42" s="121">
        <v>0</v>
      </c>
    </row>
    <row r="43" spans="1:12">
      <c r="A43" s="120" t="s">
        <v>56</v>
      </c>
      <c r="B43" s="107">
        <v>0</v>
      </c>
      <c r="C43" s="107">
        <v>0</v>
      </c>
      <c r="D43" s="121">
        <v>0</v>
      </c>
    </row>
    <row r="44" spans="1:12" ht="15.75" thickBot="1">
      <c r="A44" s="122" t="s">
        <v>91</v>
      </c>
      <c r="B44" s="123">
        <v>73991.41</v>
      </c>
      <c r="C44" s="123">
        <v>30568.1</v>
      </c>
      <c r="D44" s="123">
        <v>104559.5</v>
      </c>
    </row>
    <row r="45" spans="1:12" ht="15.75" thickTop="1">
      <c r="A45" s="124" t="s">
        <v>631</v>
      </c>
      <c r="B45" s="271">
        <v>0.70764880699999999</v>
      </c>
      <c r="C45" s="272">
        <v>0.29235119300000001</v>
      </c>
      <c r="D45" s="272">
        <v>1</v>
      </c>
    </row>
    <row r="46" spans="1:12">
      <c r="A46" s="120" t="s">
        <v>632</v>
      </c>
      <c r="B46" s="399">
        <v>182755</v>
      </c>
      <c r="C46" s="399"/>
      <c r="D46" s="399"/>
    </row>
    <row r="47" spans="1:12" ht="24">
      <c r="A47" s="349" t="s">
        <v>633</v>
      </c>
      <c r="B47" s="400">
        <v>0.57212937699999999</v>
      </c>
      <c r="C47" s="400"/>
      <c r="D47" s="400"/>
    </row>
  </sheetData>
  <mergeCells count="11">
    <mergeCell ref="B47:D47"/>
    <mergeCell ref="A6:J6"/>
    <mergeCell ref="A28:L28"/>
    <mergeCell ref="A33:C33"/>
    <mergeCell ref="A36:L36"/>
    <mergeCell ref="A21:J21"/>
    <mergeCell ref="A1:L1"/>
    <mergeCell ref="A4:A5"/>
    <mergeCell ref="B4:D4"/>
    <mergeCell ref="E4:J4"/>
    <mergeCell ref="B46:D46"/>
  </mergeCell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3E83-A1E6-4C0C-AEA9-E10336961129}">
  <dimension ref="A1:L65"/>
  <sheetViews>
    <sheetView showGridLines="0" zoomScale="90" zoomScaleNormal="90" workbookViewId="0">
      <selection activeCell="A49" sqref="A49"/>
    </sheetView>
  </sheetViews>
  <sheetFormatPr defaultColWidth="11.42578125" defaultRowHeight="15"/>
  <cols>
    <col min="1" max="1" width="16.85546875" style="10" customWidth="1"/>
    <col min="2" max="2" width="44.42578125" style="10" customWidth="1"/>
    <col min="3" max="3" width="48" style="10" customWidth="1"/>
    <col min="4" max="4" width="38.85546875" style="10" customWidth="1"/>
    <col min="5" max="5" width="31.42578125" style="10" customWidth="1"/>
    <col min="6" max="6" width="45.140625" style="10" customWidth="1"/>
    <col min="7" max="7" width="47" style="10" customWidth="1"/>
    <col min="8" max="16384" width="11.42578125" style="10"/>
  </cols>
  <sheetData>
    <row r="1" spans="1:12" s="71" customFormat="1" ht="30" customHeight="1" thickBot="1">
      <c r="A1" s="364" t="s">
        <v>647</v>
      </c>
      <c r="B1" s="365"/>
      <c r="C1" s="365"/>
      <c r="D1" s="365"/>
      <c r="E1" s="365"/>
      <c r="F1" s="365"/>
      <c r="G1" s="365"/>
      <c r="H1" s="365"/>
      <c r="I1" s="365"/>
      <c r="J1" s="365"/>
      <c r="K1" s="365"/>
      <c r="L1" s="365"/>
    </row>
    <row r="2" spans="1:12" s="15" customFormat="1"/>
    <row r="3" spans="1:12">
      <c r="A3" s="54" t="s">
        <v>634</v>
      </c>
      <c r="B3" s="54" t="s">
        <v>635</v>
      </c>
      <c r="C3" s="54" t="s">
        <v>636</v>
      </c>
      <c r="D3" s="54" t="s">
        <v>637</v>
      </c>
      <c r="E3" s="54" t="s">
        <v>638</v>
      </c>
    </row>
    <row r="4" spans="1:12">
      <c r="A4" s="28" t="s">
        <v>642</v>
      </c>
      <c r="B4" s="28" t="s">
        <v>643</v>
      </c>
      <c r="C4" s="28" t="s">
        <v>92</v>
      </c>
      <c r="D4" s="118">
        <v>63</v>
      </c>
      <c r="E4" s="28" t="s">
        <v>639</v>
      </c>
    </row>
    <row r="5" spans="1:12">
      <c r="A5" s="28" t="s">
        <v>640</v>
      </c>
      <c r="B5" s="28" t="s">
        <v>644</v>
      </c>
      <c r="C5" s="28" t="s">
        <v>83</v>
      </c>
      <c r="D5" s="118">
        <v>250</v>
      </c>
      <c r="E5" s="28" t="s">
        <v>639</v>
      </c>
    </row>
    <row r="6" spans="1:12">
      <c r="A6" s="28" t="s">
        <v>641</v>
      </c>
      <c r="B6" s="28" t="s">
        <v>645</v>
      </c>
      <c r="C6" s="28" t="s">
        <v>646</v>
      </c>
      <c r="D6" s="118">
        <v>175</v>
      </c>
      <c r="E6" s="28" t="s">
        <v>639</v>
      </c>
    </row>
    <row r="9" spans="1:12" s="71" customFormat="1" ht="30" customHeight="1" thickBot="1">
      <c r="A9" s="364" t="s">
        <v>648</v>
      </c>
      <c r="B9" s="365"/>
      <c r="C9" s="365"/>
      <c r="D9" s="365"/>
      <c r="E9" s="365"/>
      <c r="F9" s="365"/>
      <c r="G9" s="365"/>
      <c r="H9" s="365"/>
      <c r="I9" s="365"/>
      <c r="J9" s="365"/>
      <c r="K9" s="365"/>
      <c r="L9" s="365"/>
    </row>
    <row r="10" spans="1:12" s="15" customFormat="1">
      <c r="A10" s="15" t="s">
        <v>93</v>
      </c>
    </row>
    <row r="12" spans="1:12" ht="36">
      <c r="A12" s="54" t="s">
        <v>525</v>
      </c>
      <c r="B12" s="54" t="s">
        <v>649</v>
      </c>
      <c r="C12" s="54" t="s">
        <v>650</v>
      </c>
      <c r="D12" s="54" t="s">
        <v>651</v>
      </c>
      <c r="E12" s="54" t="s">
        <v>653</v>
      </c>
      <c r="F12" s="70" t="s">
        <v>654</v>
      </c>
      <c r="G12" s="54" t="s">
        <v>652</v>
      </c>
    </row>
    <row r="13" spans="1:12">
      <c r="A13" s="61" t="s">
        <v>189</v>
      </c>
      <c r="B13" s="61" t="s">
        <v>521</v>
      </c>
      <c r="C13" s="61" t="s">
        <v>657</v>
      </c>
      <c r="D13" s="61" t="s">
        <v>521</v>
      </c>
      <c r="E13" s="61" t="s">
        <v>521</v>
      </c>
      <c r="F13" s="61" t="s">
        <v>521</v>
      </c>
      <c r="G13" s="61" t="s">
        <v>521</v>
      </c>
    </row>
    <row r="14" spans="1:12">
      <c r="A14" s="61" t="s">
        <v>195</v>
      </c>
      <c r="B14" s="61" t="s">
        <v>521</v>
      </c>
      <c r="C14" s="61" t="s">
        <v>657</v>
      </c>
      <c r="D14" s="61" t="s">
        <v>521</v>
      </c>
      <c r="E14" s="61" t="s">
        <v>521</v>
      </c>
      <c r="F14" s="61" t="s">
        <v>521</v>
      </c>
      <c r="G14" s="61" t="s">
        <v>521</v>
      </c>
    </row>
    <row r="15" spans="1:12" ht="36">
      <c r="A15" s="84" t="s">
        <v>655</v>
      </c>
      <c r="B15" s="61" t="s">
        <v>656</v>
      </c>
      <c r="C15" s="61" t="s">
        <v>657</v>
      </c>
      <c r="D15" s="61" t="s">
        <v>82</v>
      </c>
      <c r="E15" s="61" t="s">
        <v>521</v>
      </c>
      <c r="F15" s="28" t="s">
        <v>658</v>
      </c>
      <c r="G15" s="61" t="s">
        <v>1</v>
      </c>
    </row>
    <row r="16" spans="1:12">
      <c r="A16" s="61" t="s">
        <v>94</v>
      </c>
      <c r="B16" s="61" t="s">
        <v>521</v>
      </c>
      <c r="C16" s="61" t="s">
        <v>82</v>
      </c>
      <c r="D16" s="61" t="s">
        <v>521</v>
      </c>
      <c r="E16" s="61" t="s">
        <v>521</v>
      </c>
      <c r="F16" s="61" t="s">
        <v>521</v>
      </c>
      <c r="G16" s="61" t="s">
        <v>82</v>
      </c>
    </row>
    <row r="17" spans="1:12">
      <c r="A17" s="61"/>
      <c r="B17" s="61"/>
      <c r="C17" s="61"/>
      <c r="D17" s="61"/>
      <c r="E17" s="61"/>
      <c r="F17" s="61"/>
      <c r="G17" s="61"/>
    </row>
    <row r="18" spans="1:12">
      <c r="A18" s="61"/>
      <c r="B18" s="61"/>
      <c r="C18" s="61"/>
      <c r="D18" s="61"/>
      <c r="E18" s="61"/>
      <c r="F18" s="61"/>
      <c r="G18" s="61"/>
    </row>
    <row r="19" spans="1:12" s="71" customFormat="1" ht="30" customHeight="1" thickBot="1">
      <c r="A19" s="364" t="s">
        <v>659</v>
      </c>
      <c r="B19" s="365"/>
      <c r="C19" s="365"/>
      <c r="D19" s="365"/>
      <c r="E19" s="365"/>
      <c r="F19" s="365"/>
      <c r="G19" s="365"/>
      <c r="H19" s="365"/>
      <c r="I19" s="365"/>
      <c r="J19" s="365"/>
      <c r="K19" s="365"/>
      <c r="L19" s="365"/>
    </row>
    <row r="20" spans="1:12" s="15" customFormat="1">
      <c r="A20" s="15" t="s">
        <v>95</v>
      </c>
    </row>
    <row r="22" spans="1:12" s="129" customFormat="1" ht="12">
      <c r="A22" s="138" t="s">
        <v>660</v>
      </c>
      <c r="B22" s="60" t="s">
        <v>189</v>
      </c>
      <c r="C22" s="60" t="s">
        <v>195</v>
      </c>
      <c r="D22" s="60" t="s">
        <v>661</v>
      </c>
      <c r="E22" s="60" t="s">
        <v>56</v>
      </c>
    </row>
    <row r="23" spans="1:12" s="12" customFormat="1" ht="24">
      <c r="A23" s="137" t="s">
        <v>662</v>
      </c>
      <c r="B23" s="28" t="s">
        <v>96</v>
      </c>
      <c r="C23" s="28" t="s">
        <v>97</v>
      </c>
      <c r="D23" s="61" t="s">
        <v>75</v>
      </c>
      <c r="E23" s="61" t="s">
        <v>98</v>
      </c>
    </row>
    <row r="24" spans="1:12" s="46" customFormat="1" ht="120">
      <c r="A24" s="139" t="s">
        <v>663</v>
      </c>
      <c r="B24" s="358" t="s">
        <v>664</v>
      </c>
      <c r="C24" s="358" t="s">
        <v>665</v>
      </c>
      <c r="D24" s="358" t="s">
        <v>666</v>
      </c>
      <c r="E24" s="130" t="s">
        <v>667</v>
      </c>
    </row>
    <row r="27" spans="1:12" s="71" customFormat="1" ht="30" customHeight="1" thickBot="1">
      <c r="A27" s="364" t="s">
        <v>668</v>
      </c>
      <c r="B27" s="365"/>
      <c r="C27" s="365"/>
      <c r="D27" s="365"/>
      <c r="E27" s="365"/>
      <c r="F27" s="365"/>
      <c r="G27" s="365"/>
      <c r="H27" s="365"/>
      <c r="I27" s="365"/>
      <c r="J27" s="365"/>
      <c r="K27" s="365"/>
      <c r="L27" s="365"/>
    </row>
    <row r="28" spans="1:12" s="15" customFormat="1">
      <c r="A28" s="15" t="s">
        <v>673</v>
      </c>
    </row>
    <row r="29" spans="1:12">
      <c r="C29" s="10" t="s">
        <v>86</v>
      </c>
    </row>
    <row r="30" spans="1:12">
      <c r="A30" s="48" t="s">
        <v>525</v>
      </c>
      <c r="B30" s="49" t="s">
        <v>670</v>
      </c>
      <c r="C30" s="49" t="s">
        <v>669</v>
      </c>
      <c r="D30" s="50" t="s">
        <v>672</v>
      </c>
    </row>
    <row r="31" spans="1:12" s="71" customFormat="1">
      <c r="A31" s="84" t="s">
        <v>189</v>
      </c>
      <c r="B31" s="27" t="s">
        <v>82</v>
      </c>
      <c r="C31" s="27" t="s">
        <v>99</v>
      </c>
      <c r="D31" s="131" t="s">
        <v>1</v>
      </c>
    </row>
    <row r="32" spans="1:12" s="71" customFormat="1" ht="24">
      <c r="A32" s="84" t="s">
        <v>195</v>
      </c>
      <c r="B32" s="27" t="s">
        <v>82</v>
      </c>
      <c r="C32" s="27" t="s">
        <v>1</v>
      </c>
      <c r="D32" s="131" t="s">
        <v>1</v>
      </c>
    </row>
    <row r="33" spans="1:12" s="71" customFormat="1" ht="24">
      <c r="A33" s="84" t="s">
        <v>387</v>
      </c>
      <c r="B33" s="27" t="s">
        <v>82</v>
      </c>
      <c r="C33" s="27" t="s">
        <v>1</v>
      </c>
      <c r="D33" s="131" t="s">
        <v>1</v>
      </c>
    </row>
    <row r="34" spans="1:12" s="71" customFormat="1" ht="24">
      <c r="A34" s="84" t="s">
        <v>56</v>
      </c>
      <c r="B34" s="27" t="s">
        <v>563</v>
      </c>
      <c r="C34" s="27" t="s">
        <v>563</v>
      </c>
      <c r="D34" s="131" t="s">
        <v>674</v>
      </c>
    </row>
    <row r="35" spans="1:12" s="71" customFormat="1" ht="15.75" thickBot="1">
      <c r="A35" s="113" t="s">
        <v>77</v>
      </c>
      <c r="B35" s="405" t="s">
        <v>671</v>
      </c>
      <c r="C35" s="405"/>
      <c r="D35" s="405"/>
    </row>
    <row r="36" spans="1:12" ht="52.5" customHeight="1" thickTop="1">
      <c r="A36" s="370" t="s">
        <v>675</v>
      </c>
      <c r="B36" s="370"/>
      <c r="C36" s="370"/>
      <c r="D36" s="370"/>
    </row>
    <row r="39" spans="1:12" s="71" customFormat="1" ht="20.25" thickBot="1">
      <c r="A39" s="364" t="s">
        <v>680</v>
      </c>
      <c r="B39" s="365"/>
      <c r="C39" s="365"/>
      <c r="D39" s="365"/>
      <c r="E39" s="365"/>
      <c r="F39" s="365"/>
      <c r="G39" s="365"/>
      <c r="H39" s="365"/>
      <c r="I39" s="365"/>
      <c r="J39" s="365"/>
      <c r="K39" s="365"/>
      <c r="L39" s="365"/>
    </row>
    <row r="40" spans="1:12" s="15" customFormat="1">
      <c r="A40" s="15" t="s">
        <v>676</v>
      </c>
    </row>
    <row r="42" spans="1:12">
      <c r="A42" s="48" t="s">
        <v>679</v>
      </c>
      <c r="B42" s="49" t="s">
        <v>681</v>
      </c>
      <c r="C42" s="49" t="s">
        <v>682</v>
      </c>
      <c r="D42" s="49" t="s">
        <v>683</v>
      </c>
      <c r="E42" s="49" t="s">
        <v>395</v>
      </c>
      <c r="F42" s="50" t="s">
        <v>684</v>
      </c>
    </row>
    <row r="43" spans="1:12">
      <c r="A43" s="87" t="s">
        <v>688</v>
      </c>
      <c r="B43" s="132" t="s">
        <v>687</v>
      </c>
      <c r="C43" s="132" t="s">
        <v>86</v>
      </c>
      <c r="D43" s="132" t="s">
        <v>685</v>
      </c>
      <c r="E43" s="132" t="s">
        <v>100</v>
      </c>
      <c r="F43" s="86">
        <v>2021</v>
      </c>
    </row>
    <row r="44" spans="1:12">
      <c r="A44" s="88" t="s">
        <v>689</v>
      </c>
      <c r="B44" s="133" t="s">
        <v>195</v>
      </c>
      <c r="C44" s="133" t="s">
        <v>195</v>
      </c>
      <c r="D44" s="133" t="s">
        <v>686</v>
      </c>
      <c r="E44" s="133" t="s">
        <v>101</v>
      </c>
      <c r="F44" s="90">
        <v>2021</v>
      </c>
    </row>
    <row r="45" spans="1:12" ht="28.5" customHeight="1">
      <c r="A45" s="404" t="s">
        <v>704</v>
      </c>
      <c r="B45" s="404"/>
      <c r="C45" s="404"/>
      <c r="D45" s="404"/>
      <c r="E45" s="404"/>
      <c r="F45" s="404"/>
    </row>
    <row r="46" spans="1:12">
      <c r="A46" s="128"/>
      <c r="B46" s="128"/>
      <c r="C46" s="128"/>
      <c r="D46" s="128"/>
      <c r="E46" s="128"/>
      <c r="F46" s="128"/>
    </row>
    <row r="47" spans="1:12">
      <c r="A47" s="128"/>
      <c r="B47" s="128"/>
      <c r="C47" s="128"/>
      <c r="D47" s="128"/>
      <c r="E47" s="128"/>
      <c r="F47" s="128"/>
    </row>
    <row r="48" spans="1:12" s="71" customFormat="1" ht="30" customHeight="1" thickBot="1">
      <c r="A48" s="364" t="s">
        <v>690</v>
      </c>
      <c r="B48" s="365"/>
      <c r="C48" s="365"/>
      <c r="D48" s="365"/>
      <c r="E48" s="365"/>
      <c r="F48" s="365"/>
      <c r="G48" s="365"/>
      <c r="H48" s="365"/>
      <c r="I48" s="365"/>
      <c r="J48" s="365"/>
      <c r="K48" s="365"/>
      <c r="L48" s="365"/>
    </row>
    <row r="49" spans="1:12" s="15" customFormat="1">
      <c r="A49" s="15" t="s">
        <v>677</v>
      </c>
    </row>
    <row r="51" spans="1:12">
      <c r="A51" s="140" t="s">
        <v>691</v>
      </c>
      <c r="B51" s="140" t="s">
        <v>702</v>
      </c>
      <c r="C51" s="140" t="s">
        <v>638</v>
      </c>
      <c r="D51" s="140" t="s">
        <v>700</v>
      </c>
      <c r="E51" s="56" t="s">
        <v>701</v>
      </c>
    </row>
    <row r="52" spans="1:12" s="71" customFormat="1" ht="36">
      <c r="A52" s="28" t="s">
        <v>685</v>
      </c>
      <c r="B52" s="28" t="s">
        <v>563</v>
      </c>
      <c r="C52" s="28" t="s">
        <v>79</v>
      </c>
      <c r="D52" s="28" t="s">
        <v>482</v>
      </c>
      <c r="E52" s="28" t="s">
        <v>692</v>
      </c>
    </row>
    <row r="53" spans="1:12" s="71" customFormat="1" ht="36">
      <c r="A53" s="28" t="s">
        <v>686</v>
      </c>
      <c r="B53" s="28" t="s">
        <v>521</v>
      </c>
      <c r="C53" s="28" t="s">
        <v>79</v>
      </c>
      <c r="D53" s="28" t="s">
        <v>482</v>
      </c>
      <c r="E53" s="28" t="s">
        <v>693</v>
      </c>
    </row>
    <row r="56" spans="1:12" s="71" customFormat="1" ht="20.25" thickBot="1">
      <c r="A56" s="364" t="s">
        <v>694</v>
      </c>
      <c r="B56" s="365"/>
      <c r="C56" s="365"/>
      <c r="D56" s="365"/>
      <c r="E56" s="365"/>
      <c r="F56" s="365"/>
      <c r="G56" s="365"/>
      <c r="H56" s="365"/>
      <c r="I56" s="365"/>
      <c r="J56" s="365"/>
      <c r="K56" s="365"/>
      <c r="L56" s="365"/>
    </row>
    <row r="57" spans="1:12" s="15" customFormat="1">
      <c r="A57" s="15" t="s">
        <v>678</v>
      </c>
    </row>
    <row r="59" spans="1:12">
      <c r="A59" s="70" t="s">
        <v>636</v>
      </c>
      <c r="B59" s="54" t="s">
        <v>695</v>
      </c>
      <c r="C59" s="54" t="s">
        <v>696</v>
      </c>
      <c r="D59" s="54" t="s">
        <v>697</v>
      </c>
      <c r="E59" s="70" t="s">
        <v>698</v>
      </c>
      <c r="F59" s="141" t="s">
        <v>699</v>
      </c>
    </row>
    <row r="60" spans="1:12">
      <c r="A60" s="61" t="s">
        <v>102</v>
      </c>
      <c r="B60" s="134">
        <v>14599</v>
      </c>
      <c r="C60" s="73">
        <v>0</v>
      </c>
      <c r="D60" s="73">
        <v>9</v>
      </c>
      <c r="E60" s="135">
        <v>9</v>
      </c>
      <c r="F60" s="136">
        <v>5.9999999999999995E-4</v>
      </c>
    </row>
    <row r="61" spans="1:12">
      <c r="A61" s="61" t="s">
        <v>103</v>
      </c>
      <c r="B61" s="134">
        <v>15606</v>
      </c>
      <c r="C61" s="73">
        <v>28</v>
      </c>
      <c r="D61" s="73">
        <v>32</v>
      </c>
      <c r="E61" s="135">
        <v>60</v>
      </c>
      <c r="F61" s="136">
        <v>3.8E-3</v>
      </c>
    </row>
    <row r="62" spans="1:12">
      <c r="A62" s="61" t="s">
        <v>104</v>
      </c>
      <c r="B62" s="134">
        <v>41432</v>
      </c>
      <c r="C62" s="73">
        <v>1</v>
      </c>
      <c r="D62" s="73">
        <v>1</v>
      </c>
      <c r="E62" s="135">
        <v>2</v>
      </c>
      <c r="F62" s="136">
        <v>0</v>
      </c>
    </row>
    <row r="63" spans="1:12">
      <c r="A63" s="61" t="s">
        <v>75</v>
      </c>
      <c r="B63" s="134">
        <v>37748</v>
      </c>
      <c r="C63" s="73">
        <v>0</v>
      </c>
      <c r="D63" s="73">
        <v>10</v>
      </c>
      <c r="E63" s="135">
        <v>9</v>
      </c>
      <c r="F63" s="136">
        <v>2.9999999999999997E-4</v>
      </c>
    </row>
    <row r="64" spans="1:12">
      <c r="A64" s="61" t="s">
        <v>105</v>
      </c>
      <c r="B64" s="134">
        <v>14383</v>
      </c>
      <c r="C64" s="73">
        <v>5</v>
      </c>
      <c r="D64" s="73">
        <v>2</v>
      </c>
      <c r="E64" s="135">
        <v>7</v>
      </c>
      <c r="F64" s="136">
        <v>5.0000000000000001E-4</v>
      </c>
    </row>
    <row r="65" spans="1:6" ht="28.5" customHeight="1">
      <c r="A65" s="404" t="s">
        <v>703</v>
      </c>
      <c r="B65" s="404"/>
      <c r="C65" s="404"/>
      <c r="D65" s="404"/>
      <c r="E65" s="404"/>
      <c r="F65" s="404"/>
    </row>
  </sheetData>
  <mergeCells count="11">
    <mergeCell ref="A65:F65"/>
    <mergeCell ref="A1:L1"/>
    <mergeCell ref="A9:L9"/>
    <mergeCell ref="A19:L19"/>
    <mergeCell ref="A56:L56"/>
    <mergeCell ref="A27:L27"/>
    <mergeCell ref="B35:D35"/>
    <mergeCell ref="A36:D36"/>
    <mergeCell ref="A39:L39"/>
    <mergeCell ref="A48:L48"/>
    <mergeCell ref="A45:F45"/>
  </mergeCells>
  <pageMargins left="0.7" right="0.7" top="0.75" bottom="0.75" header="0.3" footer="0.3"/>
  <drawing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B8314-1F15-4BB7-AE2F-71A90D550E25}">
  <dimension ref="A1:L52"/>
  <sheetViews>
    <sheetView showGridLines="0" topLeftCell="E22" zoomScale="110" zoomScaleNormal="110" workbookViewId="0">
      <selection activeCell="F31" sqref="F31"/>
    </sheetView>
  </sheetViews>
  <sheetFormatPr defaultColWidth="11.42578125" defaultRowHeight="15"/>
  <cols>
    <col min="1" max="1" width="42.85546875" style="10" customWidth="1"/>
    <col min="2" max="2" width="96.140625" style="10" customWidth="1"/>
    <col min="3" max="3" width="68.85546875" style="10" customWidth="1"/>
    <col min="4" max="4" width="76" style="10" customWidth="1"/>
    <col min="5" max="5" width="30.140625" style="10" customWidth="1"/>
    <col min="6" max="6" width="34.140625" style="10" customWidth="1"/>
    <col min="7" max="7" width="15.85546875" style="10" customWidth="1"/>
    <col min="8" max="8" width="16.140625" style="10" customWidth="1"/>
    <col min="9" max="9" width="15.140625" style="10" customWidth="1"/>
    <col min="10" max="10" width="26.42578125" style="10" customWidth="1"/>
    <col min="11" max="16384" width="11.42578125" style="10"/>
  </cols>
  <sheetData>
    <row r="1" spans="1:12" s="71" customFormat="1" ht="30" customHeight="1" thickBot="1">
      <c r="A1" s="364" t="s">
        <v>708</v>
      </c>
      <c r="B1" s="365"/>
      <c r="C1" s="365"/>
      <c r="D1" s="365"/>
      <c r="E1" s="365"/>
      <c r="F1" s="365"/>
      <c r="G1" s="365"/>
      <c r="H1" s="365"/>
      <c r="I1" s="365"/>
      <c r="J1" s="365"/>
      <c r="K1" s="365"/>
      <c r="L1" s="365"/>
    </row>
    <row r="2" spans="1:12" s="15" customFormat="1">
      <c r="A2" s="15" t="s">
        <v>709</v>
      </c>
    </row>
    <row r="4" spans="1:12">
      <c r="A4" s="28" t="s">
        <v>710</v>
      </c>
      <c r="B4" s="72">
        <v>10</v>
      </c>
    </row>
    <row r="5" spans="1:12">
      <c r="A5" s="28" t="s">
        <v>711</v>
      </c>
      <c r="B5" s="72">
        <v>9</v>
      </c>
    </row>
    <row r="6" spans="1:12">
      <c r="A6" s="28" t="s">
        <v>1225</v>
      </c>
      <c r="B6" s="72">
        <v>1</v>
      </c>
    </row>
    <row r="7" spans="1:12">
      <c r="A7" s="28" t="s">
        <v>712</v>
      </c>
      <c r="B7" s="72" t="s">
        <v>713</v>
      </c>
    </row>
    <row r="8" spans="1:12">
      <c r="A8" s="28" t="s">
        <v>714</v>
      </c>
      <c r="B8" s="72" t="s">
        <v>563</v>
      </c>
    </row>
    <row r="9" spans="1:12" ht="24">
      <c r="A9" s="28" t="s">
        <v>1226</v>
      </c>
      <c r="B9" s="72" t="s">
        <v>521</v>
      </c>
    </row>
    <row r="10" spans="1:12" ht="24">
      <c r="A10" s="28" t="s">
        <v>715</v>
      </c>
      <c r="B10" s="142">
        <v>0</v>
      </c>
    </row>
    <row r="11" spans="1:12">
      <c r="A11" s="28" t="s">
        <v>716</v>
      </c>
      <c r="B11" s="142">
        <v>0.11</v>
      </c>
    </row>
    <row r="12" spans="1:12" ht="24">
      <c r="A12" s="28" t="s">
        <v>717</v>
      </c>
      <c r="B12" s="142">
        <v>0.89</v>
      </c>
    </row>
    <row r="13" spans="1:12" ht="24">
      <c r="A13" s="28" t="s">
        <v>718</v>
      </c>
      <c r="B13" s="72">
        <v>0</v>
      </c>
    </row>
    <row r="14" spans="1:12" ht="57" customHeight="1">
      <c r="A14" s="379" t="s">
        <v>719</v>
      </c>
      <c r="B14" s="379"/>
    </row>
    <row r="15" spans="1:12">
      <c r="A15" s="143"/>
    </row>
    <row r="16" spans="1:12">
      <c r="A16" s="143"/>
    </row>
    <row r="17" spans="1:12" ht="20.25" thickBot="1">
      <c r="A17" s="364" t="s">
        <v>720</v>
      </c>
      <c r="B17" s="365"/>
      <c r="C17" s="365"/>
      <c r="D17" s="365"/>
      <c r="E17" s="365"/>
      <c r="F17" s="365"/>
      <c r="G17" s="365"/>
      <c r="H17" s="365"/>
      <c r="I17" s="365"/>
      <c r="J17" s="365"/>
      <c r="K17" s="365"/>
      <c r="L17" s="365"/>
    </row>
    <row r="18" spans="1:12" s="15" customFormat="1">
      <c r="A18" s="15" t="s">
        <v>106</v>
      </c>
    </row>
    <row r="19" spans="1:12">
      <c r="A19" s="144"/>
    </row>
    <row r="20" spans="1:12">
      <c r="A20" s="56" t="s">
        <v>721</v>
      </c>
      <c r="B20" s="56" t="s">
        <v>739</v>
      </c>
      <c r="C20" s="56" t="s">
        <v>722</v>
      </c>
      <c r="D20" s="56" t="s">
        <v>723</v>
      </c>
      <c r="E20" s="56" t="s">
        <v>724</v>
      </c>
      <c r="F20" s="56" t="s">
        <v>725</v>
      </c>
      <c r="G20" s="56" t="s">
        <v>726</v>
      </c>
      <c r="H20" s="56" t="s">
        <v>727</v>
      </c>
      <c r="I20" s="56" t="s">
        <v>728</v>
      </c>
      <c r="J20" s="56" t="s">
        <v>729</v>
      </c>
    </row>
    <row r="21" spans="1:12" s="64" customFormat="1">
      <c r="A21" s="72" t="s">
        <v>743</v>
      </c>
      <c r="B21" s="72" t="s">
        <v>740</v>
      </c>
      <c r="C21" s="72" t="s">
        <v>735</v>
      </c>
      <c r="D21" s="72" t="s">
        <v>272</v>
      </c>
      <c r="E21" s="145" t="s">
        <v>107</v>
      </c>
      <c r="F21" s="72" t="s">
        <v>731</v>
      </c>
      <c r="G21" s="72" t="s">
        <v>730</v>
      </c>
      <c r="H21" s="72" t="s">
        <v>521</v>
      </c>
      <c r="I21" s="72" t="s">
        <v>521</v>
      </c>
      <c r="J21" s="72" t="s">
        <v>521</v>
      </c>
    </row>
    <row r="22" spans="1:12" s="64" customFormat="1" ht="24">
      <c r="A22" s="72" t="s">
        <v>744</v>
      </c>
      <c r="B22" s="72" t="s">
        <v>741</v>
      </c>
      <c r="C22" s="72" t="s">
        <v>736</v>
      </c>
      <c r="D22" s="72" t="s">
        <v>272</v>
      </c>
      <c r="E22" s="72" t="s">
        <v>733</v>
      </c>
      <c r="F22" s="72" t="s">
        <v>731</v>
      </c>
      <c r="G22" s="72" t="s">
        <v>82</v>
      </c>
      <c r="H22" s="72" t="s">
        <v>521</v>
      </c>
      <c r="I22" s="72" t="s">
        <v>521</v>
      </c>
      <c r="J22" s="72" t="s">
        <v>521</v>
      </c>
    </row>
    <row r="23" spans="1:12" s="64" customFormat="1" ht="24">
      <c r="A23" s="72" t="s">
        <v>745</v>
      </c>
      <c r="B23" s="72" t="s">
        <v>737</v>
      </c>
      <c r="C23" s="72" t="s">
        <v>737</v>
      </c>
      <c r="D23" s="72" t="s">
        <v>272</v>
      </c>
      <c r="E23" s="72" t="s">
        <v>733</v>
      </c>
      <c r="F23" s="72" t="s">
        <v>732</v>
      </c>
      <c r="G23" s="72" t="s">
        <v>82</v>
      </c>
      <c r="H23" s="72" t="s">
        <v>521</v>
      </c>
      <c r="I23" s="72" t="s">
        <v>521</v>
      </c>
      <c r="J23" s="72" t="s">
        <v>521</v>
      </c>
    </row>
    <row r="24" spans="1:12" s="64" customFormat="1" ht="24">
      <c r="A24" s="72" t="s">
        <v>746</v>
      </c>
      <c r="B24" s="72" t="s">
        <v>742</v>
      </c>
      <c r="C24" s="72" t="s">
        <v>738</v>
      </c>
      <c r="D24" s="72" t="s">
        <v>734</v>
      </c>
      <c r="E24" s="72" t="s">
        <v>733</v>
      </c>
      <c r="F24" s="72" t="s">
        <v>732</v>
      </c>
      <c r="G24" s="72" t="s">
        <v>82</v>
      </c>
      <c r="H24" s="72" t="s">
        <v>521</v>
      </c>
      <c r="I24" s="72" t="s">
        <v>521</v>
      </c>
      <c r="J24" s="72" t="s">
        <v>521</v>
      </c>
    </row>
    <row r="27" spans="1:12" ht="20.25" thickBot="1">
      <c r="A27" s="364" t="s">
        <v>747</v>
      </c>
      <c r="B27" s="365"/>
      <c r="C27" s="365"/>
      <c r="D27" s="365"/>
      <c r="E27" s="365"/>
      <c r="F27" s="365"/>
      <c r="G27" s="365"/>
      <c r="H27" s="365"/>
      <c r="I27" s="365"/>
      <c r="J27" s="365"/>
      <c r="K27" s="365"/>
      <c r="L27" s="365"/>
    </row>
    <row r="28" spans="1:12" s="15" customFormat="1">
      <c r="A28" s="15" t="s">
        <v>108</v>
      </c>
    </row>
    <row r="30" spans="1:12">
      <c r="A30" s="54" t="s">
        <v>748</v>
      </c>
      <c r="B30" s="54" t="s">
        <v>749</v>
      </c>
      <c r="C30" s="54" t="s">
        <v>750</v>
      </c>
      <c r="D30" s="54" t="s">
        <v>751</v>
      </c>
    </row>
    <row r="31" spans="1:12" s="64" customFormat="1" ht="54" customHeight="1">
      <c r="A31" s="72">
        <v>4</v>
      </c>
      <c r="B31" s="72" t="s">
        <v>109</v>
      </c>
      <c r="C31" s="142">
        <v>0.75</v>
      </c>
      <c r="D31" s="63" t="s">
        <v>752</v>
      </c>
    </row>
    <row r="32" spans="1:12" ht="29.25" customHeight="1">
      <c r="A32" s="360" t="s">
        <v>753</v>
      </c>
      <c r="B32" s="407"/>
      <c r="C32" s="407"/>
      <c r="D32" s="407"/>
    </row>
    <row r="35" spans="1:12" ht="20.25" customHeight="1" thickBot="1">
      <c r="A35" s="364" t="s">
        <v>754</v>
      </c>
      <c r="B35" s="365"/>
      <c r="C35" s="365"/>
      <c r="D35" s="365"/>
      <c r="E35" s="365"/>
      <c r="F35" s="365"/>
      <c r="G35" s="365"/>
      <c r="H35" s="365"/>
      <c r="I35" s="365"/>
      <c r="J35" s="365"/>
      <c r="K35" s="365"/>
      <c r="L35" s="365"/>
    </row>
    <row r="36" spans="1:12" s="15" customFormat="1">
      <c r="A36" s="15" t="s">
        <v>110</v>
      </c>
    </row>
    <row r="38" spans="1:12" s="64" customFormat="1">
      <c r="A38" s="96" t="s">
        <v>755</v>
      </c>
      <c r="B38" s="96" t="s">
        <v>756</v>
      </c>
      <c r="C38" s="96" t="s">
        <v>757</v>
      </c>
      <c r="D38" s="96" t="s">
        <v>758</v>
      </c>
      <c r="E38" s="96" t="s">
        <v>759</v>
      </c>
    </row>
    <row r="39" spans="1:12" s="64" customFormat="1">
      <c r="A39" s="74">
        <v>1193</v>
      </c>
      <c r="B39" s="74">
        <v>929</v>
      </c>
      <c r="C39" s="146" t="s">
        <v>111</v>
      </c>
      <c r="D39" s="74" t="s">
        <v>112</v>
      </c>
      <c r="E39" s="146">
        <v>0.04</v>
      </c>
    </row>
    <row r="40" spans="1:12" s="147" customFormat="1" ht="68.25" customHeight="1">
      <c r="A40" s="360" t="s">
        <v>760</v>
      </c>
      <c r="B40" s="360"/>
      <c r="C40" s="360"/>
      <c r="D40" s="360"/>
      <c r="E40" s="360"/>
      <c r="F40" s="130"/>
    </row>
    <row r="41" spans="1:12">
      <c r="A41" s="406"/>
      <c r="B41" s="406"/>
      <c r="C41" s="406"/>
      <c r="D41" s="406"/>
      <c r="E41" s="406"/>
      <c r="F41" s="406"/>
    </row>
    <row r="42" spans="1:12" s="64" customFormat="1">
      <c r="A42" s="60" t="s">
        <v>765</v>
      </c>
      <c r="B42" s="60" t="s">
        <v>766</v>
      </c>
      <c r="C42" s="60" t="s">
        <v>87</v>
      </c>
    </row>
    <row r="43" spans="1:12" s="64" customFormat="1">
      <c r="A43" s="74">
        <v>705</v>
      </c>
      <c r="B43" s="74">
        <v>705</v>
      </c>
      <c r="C43" s="146">
        <f>Tabla5[[#This Row],['# de socios comerciales a quienes se les hayan comunicado las políticas y procedimientos anti-corrupción ]]/Tabla5[[#This Row],['# de proveedores ]]</f>
        <v>1</v>
      </c>
    </row>
    <row r="44" spans="1:12" ht="25.5" customHeight="1">
      <c r="A44" s="360" t="s">
        <v>771</v>
      </c>
      <c r="B44" s="360"/>
      <c r="C44" s="360"/>
    </row>
    <row r="47" spans="1:12" ht="20.25" thickBot="1">
      <c r="A47" s="364" t="s">
        <v>761</v>
      </c>
      <c r="B47" s="365"/>
      <c r="C47" s="365"/>
      <c r="D47" s="365"/>
      <c r="E47" s="365"/>
      <c r="F47" s="365"/>
      <c r="G47" s="365"/>
      <c r="H47" s="365"/>
      <c r="I47" s="365"/>
      <c r="J47" s="365"/>
      <c r="K47" s="365"/>
      <c r="L47" s="365"/>
    </row>
    <row r="48" spans="1:12" s="15" customFormat="1">
      <c r="A48" s="15" t="s">
        <v>113</v>
      </c>
    </row>
    <row r="50" spans="1:5" s="64" customFormat="1">
      <c r="A50" s="95" t="s">
        <v>762</v>
      </c>
      <c r="B50" s="95" t="s">
        <v>763</v>
      </c>
      <c r="C50" s="95" t="s">
        <v>767</v>
      </c>
      <c r="D50" s="95" t="s">
        <v>768</v>
      </c>
      <c r="E50" s="95" t="s">
        <v>769</v>
      </c>
    </row>
    <row r="51" spans="1:5" s="64" customFormat="1">
      <c r="A51" s="74">
        <v>1</v>
      </c>
      <c r="B51" s="72" t="s">
        <v>764</v>
      </c>
      <c r="C51" s="74" t="s">
        <v>70</v>
      </c>
      <c r="D51" s="74" t="s">
        <v>82</v>
      </c>
      <c r="E51" s="74" t="s">
        <v>1</v>
      </c>
    </row>
    <row r="52" spans="1:5" ht="45.75" customHeight="1">
      <c r="A52" s="379" t="s">
        <v>770</v>
      </c>
      <c r="B52" s="379"/>
      <c r="C52" s="379"/>
      <c r="D52" s="379"/>
      <c r="E52" s="379"/>
    </row>
  </sheetData>
  <mergeCells count="11">
    <mergeCell ref="A52:E52"/>
    <mergeCell ref="A41:F41"/>
    <mergeCell ref="A1:L1"/>
    <mergeCell ref="A14:B14"/>
    <mergeCell ref="A17:L17"/>
    <mergeCell ref="A27:L27"/>
    <mergeCell ref="A35:L35"/>
    <mergeCell ref="A47:L47"/>
    <mergeCell ref="A32:D32"/>
    <mergeCell ref="A44:C44"/>
    <mergeCell ref="A40:E40"/>
  </mergeCells>
  <pageMargins left="0.7" right="0.7" top="0.75" bottom="0.75" header="0.3" footer="0.3"/>
  <drawing r:id="rId1"/>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969E1-6C49-44C8-B729-D791D8F33933}">
  <dimension ref="A1:L10"/>
  <sheetViews>
    <sheetView showGridLines="0" zoomScaleNormal="100" workbookViewId="0">
      <selection activeCell="C4" sqref="C4"/>
    </sheetView>
  </sheetViews>
  <sheetFormatPr defaultColWidth="11.42578125" defaultRowHeight="15"/>
  <cols>
    <col min="1" max="1" width="20.140625" style="10" customWidth="1"/>
    <col min="2" max="2" width="32.140625" style="10" bestFit="1" customWidth="1"/>
    <col min="3" max="3" width="19.140625" style="10" customWidth="1"/>
    <col min="4" max="4" width="79.140625" style="10" bestFit="1" customWidth="1"/>
    <col min="5" max="16384" width="11.42578125" style="10"/>
  </cols>
  <sheetData>
    <row r="1" spans="1:12" s="71" customFormat="1" ht="30" customHeight="1" thickBot="1">
      <c r="A1" s="364" t="s">
        <v>772</v>
      </c>
      <c r="B1" s="365"/>
      <c r="C1" s="365"/>
      <c r="D1" s="365"/>
      <c r="E1" s="365"/>
      <c r="F1" s="365"/>
      <c r="G1" s="365"/>
      <c r="H1" s="365"/>
      <c r="I1" s="365"/>
      <c r="J1" s="365"/>
      <c r="K1" s="365"/>
      <c r="L1" s="365"/>
    </row>
    <row r="2" spans="1:12" s="15" customFormat="1">
      <c r="A2" s="15" t="s">
        <v>114</v>
      </c>
    </row>
    <row r="4" spans="1:12" s="64" customFormat="1">
      <c r="A4" s="95" t="s">
        <v>773</v>
      </c>
      <c r="B4" s="95" t="s">
        <v>774</v>
      </c>
      <c r="C4" s="95" t="s">
        <v>780</v>
      </c>
      <c r="D4" s="95" t="s">
        <v>779</v>
      </c>
    </row>
    <row r="5" spans="1:12" s="64" customFormat="1" ht="36">
      <c r="A5" s="72" t="s">
        <v>189</v>
      </c>
      <c r="B5" s="72" t="s">
        <v>521</v>
      </c>
      <c r="C5" s="72" t="s">
        <v>775</v>
      </c>
      <c r="D5" s="72" t="s">
        <v>777</v>
      </c>
    </row>
    <row r="6" spans="1:12" s="64" customFormat="1" ht="36">
      <c r="A6" s="72" t="s">
        <v>195</v>
      </c>
      <c r="B6" s="72" t="s">
        <v>521</v>
      </c>
      <c r="C6" s="72" t="s">
        <v>775</v>
      </c>
      <c r="D6" s="72" t="s">
        <v>777</v>
      </c>
    </row>
    <row r="7" spans="1:12" s="64" customFormat="1" ht="36">
      <c r="A7" s="72" t="s">
        <v>387</v>
      </c>
      <c r="B7" s="72" t="s">
        <v>521</v>
      </c>
      <c r="C7" s="72" t="s">
        <v>776</v>
      </c>
      <c r="D7" s="72" t="s">
        <v>778</v>
      </c>
    </row>
    <row r="8" spans="1:12" s="64" customFormat="1" ht="36">
      <c r="A8" s="72" t="s">
        <v>56</v>
      </c>
      <c r="B8" s="72" t="s">
        <v>521</v>
      </c>
      <c r="C8" s="72" t="s">
        <v>776</v>
      </c>
      <c r="D8" s="72" t="s">
        <v>778</v>
      </c>
    </row>
    <row r="9" spans="1:12" s="64" customFormat="1" ht="15.75" thickBot="1">
      <c r="A9" s="148" t="s">
        <v>77</v>
      </c>
      <c r="B9" s="149">
        <v>1</v>
      </c>
      <c r="C9" s="148"/>
      <c r="D9" s="148"/>
    </row>
    <row r="10" spans="1:12" ht="15.75" thickTop="1"/>
  </sheetData>
  <mergeCells count="1">
    <mergeCell ref="A1:L1"/>
  </mergeCell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A5A2C-1717-4D21-BB6C-DDA2350F5152}">
  <dimension ref="A1:L106"/>
  <sheetViews>
    <sheetView showGridLines="0" topLeftCell="A52" zoomScale="110" zoomScaleNormal="110" workbookViewId="0">
      <selection activeCell="A57" sqref="A57"/>
    </sheetView>
  </sheetViews>
  <sheetFormatPr defaultColWidth="11.42578125" defaultRowHeight="15"/>
  <cols>
    <col min="1" max="1" width="62.140625" style="10" customWidth="1"/>
    <col min="2" max="2" width="59.140625" style="10" customWidth="1"/>
    <col min="3" max="3" width="49.85546875" style="10" customWidth="1"/>
    <col min="4" max="4" width="46" style="10" customWidth="1"/>
    <col min="5" max="5" width="52.85546875" style="10" customWidth="1"/>
    <col min="6" max="6" width="39.42578125" style="10" customWidth="1"/>
    <col min="7" max="7" width="46.140625" style="10" customWidth="1"/>
    <col min="8" max="8" width="38" style="10" customWidth="1"/>
    <col min="9" max="9" width="19.140625" style="10" customWidth="1"/>
    <col min="10" max="16384" width="11.42578125" style="10"/>
  </cols>
  <sheetData>
    <row r="1" spans="1:12" s="71" customFormat="1" ht="30" customHeight="1" thickBot="1">
      <c r="A1" s="364" t="s">
        <v>782</v>
      </c>
      <c r="B1" s="365"/>
      <c r="C1" s="365"/>
      <c r="D1" s="365"/>
      <c r="E1" s="365"/>
      <c r="F1" s="365"/>
      <c r="G1" s="365"/>
      <c r="H1" s="365"/>
      <c r="I1" s="365"/>
      <c r="J1" s="365"/>
      <c r="K1" s="365"/>
      <c r="L1" s="365"/>
    </row>
    <row r="2" spans="1:12">
      <c r="A2" s="15" t="s">
        <v>115</v>
      </c>
    </row>
    <row r="3" spans="1:12">
      <c r="C3" s="150"/>
    </row>
    <row r="4" spans="1:12" s="64" customFormat="1">
      <c r="A4" s="60" t="s">
        <v>783</v>
      </c>
      <c r="B4" s="60" t="s">
        <v>781</v>
      </c>
      <c r="C4" s="60" t="s">
        <v>784</v>
      </c>
      <c r="D4" s="60" t="s">
        <v>785</v>
      </c>
      <c r="E4" s="60" t="s">
        <v>786</v>
      </c>
      <c r="F4" s="60" t="s">
        <v>793</v>
      </c>
      <c r="G4" s="60" t="s">
        <v>789</v>
      </c>
    </row>
    <row r="5" spans="1:12" s="64" customFormat="1" ht="60">
      <c r="A5" s="74" t="s">
        <v>823</v>
      </c>
      <c r="B5" s="72" t="s">
        <v>794</v>
      </c>
      <c r="C5" s="134">
        <v>17299</v>
      </c>
      <c r="D5" s="151">
        <v>11668</v>
      </c>
      <c r="E5" s="74" t="s">
        <v>787</v>
      </c>
      <c r="F5" s="74" t="s">
        <v>116</v>
      </c>
      <c r="G5" s="72" t="s">
        <v>790</v>
      </c>
    </row>
    <row r="6" spans="1:12" s="64" customFormat="1" ht="60">
      <c r="A6" s="74" t="s">
        <v>822</v>
      </c>
      <c r="B6" s="72" t="s">
        <v>795</v>
      </c>
      <c r="C6" s="134">
        <v>1182</v>
      </c>
      <c r="D6" s="151">
        <v>1030</v>
      </c>
      <c r="E6" s="74" t="s">
        <v>787</v>
      </c>
      <c r="F6" s="74" t="s">
        <v>116</v>
      </c>
      <c r="G6" s="72" t="s">
        <v>791</v>
      </c>
    </row>
    <row r="7" spans="1:12" s="64" customFormat="1" ht="36">
      <c r="A7" s="74" t="s">
        <v>824</v>
      </c>
      <c r="B7" s="72" t="s">
        <v>796</v>
      </c>
      <c r="C7" s="73">
        <v>535</v>
      </c>
      <c r="D7" s="75">
        <v>265</v>
      </c>
      <c r="E7" s="74" t="s">
        <v>788</v>
      </c>
      <c r="F7" s="74" t="s">
        <v>117</v>
      </c>
      <c r="G7" s="72" t="s">
        <v>792</v>
      </c>
    </row>
    <row r="8" spans="1:12" ht="24.75" customHeight="1">
      <c r="A8" s="379" t="s">
        <v>324</v>
      </c>
      <c r="B8" s="379"/>
      <c r="C8" s="379"/>
      <c r="D8" s="379"/>
      <c r="E8" s="379"/>
      <c r="F8" s="379"/>
      <c r="G8" s="379"/>
      <c r="H8" s="28"/>
      <c r="I8" s="28"/>
    </row>
    <row r="10" spans="1:12" s="71" customFormat="1" ht="30" customHeight="1" thickBot="1">
      <c r="A10" s="364" t="s">
        <v>797</v>
      </c>
      <c r="B10" s="365"/>
      <c r="C10" s="365"/>
      <c r="D10" s="365"/>
      <c r="E10" s="365"/>
      <c r="F10" s="365"/>
      <c r="G10" s="365"/>
      <c r="H10" s="365"/>
      <c r="I10" s="365"/>
      <c r="J10" s="365"/>
      <c r="K10" s="365"/>
      <c r="L10" s="365"/>
    </row>
    <row r="11" spans="1:12">
      <c r="A11" s="15" t="s">
        <v>118</v>
      </c>
    </row>
    <row r="13" spans="1:12" s="64" customFormat="1">
      <c r="A13" s="163" t="s">
        <v>798</v>
      </c>
      <c r="B13" s="96" t="s">
        <v>189</v>
      </c>
      <c r="C13" s="96" t="s">
        <v>386</v>
      </c>
      <c r="D13" s="96" t="s">
        <v>119</v>
      </c>
      <c r="E13" s="96" t="s">
        <v>94</v>
      </c>
      <c r="F13" s="96" t="s">
        <v>120</v>
      </c>
      <c r="G13" s="96" t="s">
        <v>77</v>
      </c>
    </row>
    <row r="14" spans="1:12">
      <c r="A14" s="152" t="s">
        <v>799</v>
      </c>
      <c r="B14" s="153">
        <f>B15</f>
        <v>568</v>
      </c>
      <c r="C14" s="153">
        <f t="shared" ref="C14:G14" si="0">C15</f>
        <v>461</v>
      </c>
      <c r="D14" s="153">
        <f t="shared" si="0"/>
        <v>27</v>
      </c>
      <c r="E14" s="153">
        <f t="shared" si="0"/>
        <v>47</v>
      </c>
      <c r="F14" s="153">
        <f t="shared" si="0"/>
        <v>90</v>
      </c>
      <c r="G14" s="153">
        <f t="shared" si="0"/>
        <v>1193</v>
      </c>
    </row>
    <row r="15" spans="1:12">
      <c r="A15" s="61" t="s">
        <v>800</v>
      </c>
      <c r="B15" s="75">
        <v>568</v>
      </c>
      <c r="C15" s="75">
        <v>461</v>
      </c>
      <c r="D15" s="75">
        <v>27</v>
      </c>
      <c r="E15" s="75">
        <v>47</v>
      </c>
      <c r="F15" s="75">
        <v>90</v>
      </c>
      <c r="G15" s="75">
        <f>SUM(Tabla27[[#This Row],[Complejo El Limón]:[Managua]])</f>
        <v>1193</v>
      </c>
    </row>
    <row r="16" spans="1:12">
      <c r="A16" s="61" t="s">
        <v>801</v>
      </c>
      <c r="B16" s="154">
        <f>B15/B14</f>
        <v>1</v>
      </c>
      <c r="C16" s="154">
        <f t="shared" ref="C16:G16" si="1">C15/C14</f>
        <v>1</v>
      </c>
      <c r="D16" s="154">
        <f t="shared" si="1"/>
        <v>1</v>
      </c>
      <c r="E16" s="154">
        <f t="shared" si="1"/>
        <v>1</v>
      </c>
      <c r="F16" s="154">
        <f t="shared" si="1"/>
        <v>1</v>
      </c>
      <c r="G16" s="154">
        <f t="shared" si="1"/>
        <v>1</v>
      </c>
    </row>
    <row r="17" spans="1:12">
      <c r="A17" s="152" t="s">
        <v>802</v>
      </c>
      <c r="B17" s="153">
        <f>B18</f>
        <v>870</v>
      </c>
      <c r="C17" s="153">
        <f t="shared" ref="C17:G17" si="2">C18</f>
        <v>980</v>
      </c>
      <c r="D17" s="153">
        <f t="shared" si="2"/>
        <v>71</v>
      </c>
      <c r="E17" s="153">
        <f t="shared" si="2"/>
        <v>53</v>
      </c>
      <c r="F17" s="153">
        <f t="shared" si="2"/>
        <v>0</v>
      </c>
      <c r="G17" s="153">
        <f t="shared" si="2"/>
        <v>1974</v>
      </c>
    </row>
    <row r="18" spans="1:12">
      <c r="A18" s="61" t="s">
        <v>803</v>
      </c>
      <c r="B18" s="75">
        <v>870</v>
      </c>
      <c r="C18" s="75">
        <v>980</v>
      </c>
      <c r="D18" s="75">
        <v>71</v>
      </c>
      <c r="E18" s="75">
        <v>53</v>
      </c>
      <c r="F18" s="75">
        <v>0</v>
      </c>
      <c r="G18" s="75">
        <v>1974</v>
      </c>
    </row>
    <row r="19" spans="1:12">
      <c r="A19" s="61" t="s">
        <v>804</v>
      </c>
      <c r="B19" s="154">
        <f>B18/B17</f>
        <v>1</v>
      </c>
      <c r="C19" s="154">
        <f t="shared" ref="C19:G19" si="3">C18/C17</f>
        <v>1</v>
      </c>
      <c r="D19" s="154">
        <f t="shared" si="3"/>
        <v>1</v>
      </c>
      <c r="E19" s="154">
        <f t="shared" si="3"/>
        <v>1</v>
      </c>
      <c r="F19" s="154">
        <v>0</v>
      </c>
      <c r="G19" s="154">
        <f t="shared" si="3"/>
        <v>1</v>
      </c>
    </row>
    <row r="20" spans="1:12">
      <c r="A20" s="152" t="s">
        <v>805</v>
      </c>
      <c r="B20" s="153">
        <f>SUM(B14+B17)</f>
        <v>1438</v>
      </c>
      <c r="C20" s="153">
        <f t="shared" ref="C20:G20" si="4">SUM(C14+C17)</f>
        <v>1441</v>
      </c>
      <c r="D20" s="153">
        <f t="shared" si="4"/>
        <v>98</v>
      </c>
      <c r="E20" s="153">
        <f t="shared" si="4"/>
        <v>100</v>
      </c>
      <c r="F20" s="153">
        <f t="shared" si="4"/>
        <v>90</v>
      </c>
      <c r="G20" s="153">
        <f t="shared" si="4"/>
        <v>3167</v>
      </c>
    </row>
    <row r="21" spans="1:12">
      <c r="A21" s="61" t="s">
        <v>806</v>
      </c>
      <c r="B21" s="75">
        <v>0</v>
      </c>
      <c r="C21" s="75">
        <v>0</v>
      </c>
      <c r="D21" s="75">
        <v>0</v>
      </c>
      <c r="E21" s="75">
        <v>0</v>
      </c>
      <c r="F21" s="75">
        <v>0</v>
      </c>
      <c r="G21" s="75">
        <v>0</v>
      </c>
    </row>
    <row r="22" spans="1:12">
      <c r="A22" s="61" t="s">
        <v>820</v>
      </c>
      <c r="B22" s="154">
        <f>B21/B20</f>
        <v>0</v>
      </c>
      <c r="C22" s="154">
        <f t="shared" ref="C22:G22" si="5">C21/C20</f>
        <v>0</v>
      </c>
      <c r="D22" s="154">
        <f t="shared" si="5"/>
        <v>0</v>
      </c>
      <c r="E22" s="154">
        <f t="shared" si="5"/>
        <v>0</v>
      </c>
      <c r="F22" s="154">
        <f t="shared" si="5"/>
        <v>0</v>
      </c>
      <c r="G22" s="154">
        <f t="shared" si="5"/>
        <v>0</v>
      </c>
    </row>
    <row r="23" spans="1:12" ht="24.75" customHeight="1">
      <c r="A23" s="379" t="s">
        <v>807</v>
      </c>
      <c r="B23" s="379"/>
      <c r="C23" s="379"/>
      <c r="D23" s="379"/>
      <c r="E23" s="379"/>
      <c r="F23" s="379"/>
      <c r="G23" s="379"/>
      <c r="H23" s="28"/>
      <c r="I23" s="28"/>
    </row>
    <row r="26" spans="1:12" s="71" customFormat="1" ht="30" customHeight="1" thickBot="1">
      <c r="A26" s="364" t="s">
        <v>808</v>
      </c>
      <c r="B26" s="365"/>
      <c r="C26" s="365"/>
      <c r="D26" s="365"/>
      <c r="E26" s="365"/>
      <c r="F26" s="365"/>
      <c r="G26" s="365"/>
      <c r="H26" s="365"/>
      <c r="I26" s="365"/>
      <c r="J26" s="365"/>
      <c r="K26" s="365"/>
      <c r="L26" s="365"/>
    </row>
    <row r="27" spans="1:12">
      <c r="A27" s="15" t="s">
        <v>121</v>
      </c>
    </row>
    <row r="29" spans="1:12" s="64" customFormat="1">
      <c r="A29" s="60" t="s">
        <v>681</v>
      </c>
      <c r="B29" s="163" t="s">
        <v>809</v>
      </c>
      <c r="C29" s="163" t="s">
        <v>810</v>
      </c>
      <c r="D29" s="163" t="s">
        <v>811</v>
      </c>
      <c r="E29" s="163" t="s">
        <v>812</v>
      </c>
      <c r="F29" s="163" t="s">
        <v>813</v>
      </c>
      <c r="G29" s="163" t="s">
        <v>814</v>
      </c>
      <c r="H29" s="163" t="s">
        <v>815</v>
      </c>
      <c r="I29" s="163" t="s">
        <v>827</v>
      </c>
    </row>
    <row r="30" spans="1:12" ht="27.75" customHeight="1">
      <c r="A30" s="28" t="s">
        <v>189</v>
      </c>
      <c r="B30" s="75">
        <v>0</v>
      </c>
      <c r="C30" s="75">
        <v>0</v>
      </c>
      <c r="D30" s="75">
        <v>0</v>
      </c>
      <c r="E30" s="75">
        <v>0</v>
      </c>
      <c r="F30" s="75">
        <v>16</v>
      </c>
      <c r="G30" s="75">
        <v>2.1</v>
      </c>
      <c r="H30" s="128" t="s">
        <v>816</v>
      </c>
      <c r="I30" s="151">
        <v>1522039</v>
      </c>
    </row>
    <row r="31" spans="1:12" ht="24">
      <c r="A31" s="28" t="s">
        <v>386</v>
      </c>
      <c r="B31" s="75">
        <v>0</v>
      </c>
      <c r="C31" s="75">
        <v>0</v>
      </c>
      <c r="D31" s="75">
        <v>0</v>
      </c>
      <c r="E31" s="75">
        <v>0</v>
      </c>
      <c r="F31" s="75">
        <v>10</v>
      </c>
      <c r="G31" s="75">
        <v>1.78</v>
      </c>
      <c r="H31" s="128" t="s">
        <v>819</v>
      </c>
      <c r="I31" s="151">
        <v>1120652</v>
      </c>
    </row>
    <row r="32" spans="1:12">
      <c r="A32" s="28" t="s">
        <v>825</v>
      </c>
      <c r="B32" s="75">
        <v>0</v>
      </c>
      <c r="C32" s="75">
        <v>0</v>
      </c>
      <c r="D32" s="75">
        <v>0</v>
      </c>
      <c r="E32" s="75">
        <v>0</v>
      </c>
      <c r="F32" s="75">
        <v>2</v>
      </c>
      <c r="G32" s="75">
        <v>6.74</v>
      </c>
      <c r="H32" s="128" t="s">
        <v>818</v>
      </c>
      <c r="I32" s="151">
        <v>59356</v>
      </c>
    </row>
    <row r="33" spans="1:12">
      <c r="A33" s="28" t="s">
        <v>655</v>
      </c>
      <c r="B33" s="75">
        <v>0</v>
      </c>
      <c r="C33" s="75">
        <v>0</v>
      </c>
      <c r="D33" s="75">
        <v>0</v>
      </c>
      <c r="E33" s="75">
        <v>0</v>
      </c>
      <c r="F33" s="75">
        <v>1</v>
      </c>
      <c r="G33" s="75">
        <v>1.76</v>
      </c>
      <c r="H33" s="128" t="s">
        <v>817</v>
      </c>
      <c r="I33" s="151">
        <v>113859</v>
      </c>
    </row>
    <row r="34" spans="1:12">
      <c r="A34" s="28" t="s">
        <v>56</v>
      </c>
      <c r="B34" s="75">
        <v>0</v>
      </c>
      <c r="C34" s="75">
        <v>0</v>
      </c>
      <c r="D34" s="75">
        <v>0</v>
      </c>
      <c r="E34" s="75">
        <v>0</v>
      </c>
      <c r="F34" s="75">
        <v>0</v>
      </c>
      <c r="G34" s="75">
        <v>0</v>
      </c>
      <c r="H34" s="128" t="s">
        <v>1</v>
      </c>
      <c r="I34" s="151">
        <v>164181</v>
      </c>
    </row>
    <row r="35" spans="1:12">
      <c r="A35" s="28" t="s">
        <v>122</v>
      </c>
      <c r="B35" s="75">
        <v>0</v>
      </c>
      <c r="C35" s="75">
        <v>0</v>
      </c>
      <c r="D35" s="75">
        <v>0</v>
      </c>
      <c r="E35" s="75">
        <v>0</v>
      </c>
      <c r="F35" s="75">
        <v>0</v>
      </c>
      <c r="G35" s="75">
        <v>0</v>
      </c>
      <c r="H35" s="128" t="s">
        <v>1</v>
      </c>
      <c r="I35" s="151">
        <v>413548</v>
      </c>
    </row>
    <row r="36" spans="1:12">
      <c r="A36" s="28" t="s">
        <v>821</v>
      </c>
      <c r="B36" s="75">
        <v>0</v>
      </c>
      <c r="C36" s="75">
        <v>0</v>
      </c>
      <c r="D36" s="75">
        <v>0</v>
      </c>
      <c r="E36" s="75">
        <v>0</v>
      </c>
      <c r="F36" s="75">
        <v>0</v>
      </c>
      <c r="G36" s="75">
        <v>0</v>
      </c>
      <c r="H36" s="128" t="s">
        <v>1</v>
      </c>
      <c r="I36" s="151">
        <v>105788</v>
      </c>
    </row>
    <row r="37" spans="1:12" ht="15.75" thickBot="1">
      <c r="A37" s="155" t="s">
        <v>77</v>
      </c>
      <c r="B37" s="78">
        <f>SUBTOTAL(109,Tabla28['# de fallecimientos resultantes de una lesión por accidente laboral])</f>
        <v>0</v>
      </c>
      <c r="C37" s="78">
        <f>SUBTOTAL(109,Tabla28[Tasa de fallecimientos resultantes de una lesión por accidente laboral])</f>
        <v>0</v>
      </c>
      <c r="D37" s="78">
        <f>SUBTOTAL(109,Tabla28['# de lesiones por accidente laboral con grandes consecuencias ])</f>
        <v>0</v>
      </c>
      <c r="E37" s="78">
        <f>SUBTOTAL(109,Tabla28[Tasa de lesiones por accidente laboral con grandes consecuencias(1)])</f>
        <v>0</v>
      </c>
      <c r="F37" s="78">
        <f>SUBTOTAL(109,Tabla28['# de lesiones por accidente laboral registrables  ])</f>
        <v>29</v>
      </c>
      <c r="G37" s="78">
        <f>SUBTOTAL(109,Tabla28[Tasa de lesiones por accidente laboral registrables (2)])</f>
        <v>12.38</v>
      </c>
      <c r="H37" s="66"/>
      <c r="I37" s="156">
        <f>SUBTOTAL(109,Tabla28['# de horas trabajadas])</f>
        <v>3499423</v>
      </c>
    </row>
    <row r="38" spans="1:12" ht="15.75" thickTop="1">
      <c r="A38" s="143"/>
    </row>
    <row r="40" spans="1:12" s="71" customFormat="1" ht="30" customHeight="1" thickBot="1">
      <c r="A40" s="364" t="s">
        <v>826</v>
      </c>
      <c r="B40" s="365"/>
      <c r="C40" s="365"/>
      <c r="D40" s="365"/>
      <c r="E40" s="365"/>
      <c r="F40" s="365"/>
      <c r="G40" s="365"/>
      <c r="H40" s="365"/>
      <c r="I40" s="365"/>
      <c r="J40" s="365"/>
      <c r="K40" s="365"/>
      <c r="L40" s="365"/>
    </row>
    <row r="41" spans="1:12">
      <c r="A41" s="15" t="s">
        <v>121</v>
      </c>
    </row>
    <row r="43" spans="1:12" s="64" customFormat="1">
      <c r="A43" s="60" t="s">
        <v>681</v>
      </c>
      <c r="B43" s="163" t="s">
        <v>809</v>
      </c>
      <c r="C43" s="163" t="s">
        <v>810</v>
      </c>
      <c r="D43" s="163" t="s">
        <v>811</v>
      </c>
      <c r="E43" s="163" t="s">
        <v>812</v>
      </c>
      <c r="F43" s="163" t="s">
        <v>183</v>
      </c>
      <c r="G43" s="163" t="s">
        <v>814</v>
      </c>
      <c r="H43" s="163" t="s">
        <v>815</v>
      </c>
      <c r="I43" s="163" t="s">
        <v>827</v>
      </c>
    </row>
    <row r="44" spans="1:12">
      <c r="A44" s="28" t="s">
        <v>189</v>
      </c>
      <c r="B44" s="75">
        <v>0</v>
      </c>
      <c r="C44" s="75">
        <v>0</v>
      </c>
      <c r="D44" s="75">
        <v>1</v>
      </c>
      <c r="E44" s="75">
        <v>7.0000000000000007E-2</v>
      </c>
      <c r="F44" s="75">
        <v>10</v>
      </c>
      <c r="G44" s="75">
        <v>0.74</v>
      </c>
      <c r="H44" s="61" t="s">
        <v>828</v>
      </c>
      <c r="I44" s="151">
        <v>2688743</v>
      </c>
    </row>
    <row r="45" spans="1:12">
      <c r="A45" s="28" t="s">
        <v>386</v>
      </c>
      <c r="B45" s="75">
        <v>0</v>
      </c>
      <c r="C45" s="75">
        <v>1</v>
      </c>
      <c r="D45" s="75">
        <v>0</v>
      </c>
      <c r="E45" s="75">
        <v>0</v>
      </c>
      <c r="F45" s="75">
        <v>13</v>
      </c>
      <c r="G45" s="75">
        <v>1.3</v>
      </c>
      <c r="H45" s="61" t="s">
        <v>829</v>
      </c>
      <c r="I45" s="151">
        <v>2003974</v>
      </c>
    </row>
    <row r="46" spans="1:12">
      <c r="A46" s="28" t="s">
        <v>825</v>
      </c>
      <c r="B46" s="75">
        <v>0</v>
      </c>
      <c r="C46" s="75">
        <v>0</v>
      </c>
      <c r="D46" s="75">
        <v>0</v>
      </c>
      <c r="E46" s="157"/>
      <c r="F46" s="75">
        <v>0</v>
      </c>
      <c r="G46" s="75">
        <v>0</v>
      </c>
      <c r="H46" s="61">
        <v>0</v>
      </c>
      <c r="I46" s="151">
        <v>1346378</v>
      </c>
    </row>
    <row r="47" spans="1:12">
      <c r="A47" s="28" t="s">
        <v>387</v>
      </c>
      <c r="B47" s="75">
        <v>0</v>
      </c>
      <c r="C47" s="75">
        <v>0</v>
      </c>
      <c r="D47" s="75">
        <v>0</v>
      </c>
      <c r="E47" s="75">
        <v>0</v>
      </c>
      <c r="F47" s="75">
        <v>1</v>
      </c>
      <c r="G47" s="75">
        <v>1.03</v>
      </c>
      <c r="H47" s="61" t="s">
        <v>830</v>
      </c>
      <c r="I47" s="151">
        <v>194978</v>
      </c>
    </row>
    <row r="48" spans="1:12">
      <c r="A48" s="28" t="s">
        <v>56</v>
      </c>
      <c r="B48" s="75">
        <v>0</v>
      </c>
      <c r="C48" s="75">
        <v>0</v>
      </c>
      <c r="D48" s="75">
        <v>0</v>
      </c>
      <c r="E48" s="75">
        <v>0</v>
      </c>
      <c r="F48" s="75">
        <v>0</v>
      </c>
      <c r="G48" s="75">
        <v>0</v>
      </c>
      <c r="H48" s="61">
        <v>0</v>
      </c>
      <c r="I48" s="151">
        <v>80948</v>
      </c>
    </row>
    <row r="49" spans="1:12" ht="15.75" thickBot="1">
      <c r="A49" s="350" t="s">
        <v>77</v>
      </c>
      <c r="B49" s="351">
        <f>SUBTOTAL(109,Tabla29['# de fallecimientos resultantes de una lesión por accidente laboral])</f>
        <v>0</v>
      </c>
      <c r="C49" s="351">
        <f>SUBTOTAL(109,Tabla29[Tasa de fallecimientos resultantes de una lesión por accidente laboral])</f>
        <v>1</v>
      </c>
      <c r="D49" s="351">
        <f>SUBTOTAL(109,Tabla29['# de lesiones por accidente laboral con grandes consecuencias ])</f>
        <v>1</v>
      </c>
      <c r="E49" s="351">
        <f>SUBTOTAL(109,Tabla29[Tasa de lesiones por accidente laboral con grandes consecuencias(1)])</f>
        <v>7.0000000000000007E-2</v>
      </c>
      <c r="F49" s="351">
        <f>SUBTOTAL(109,Tabla29['# Recordable Work-related Injuries Lesiones relacionadas con el trabajo grabables])</f>
        <v>24</v>
      </c>
      <c r="G49" s="351">
        <f>SUBTOTAL(109,Tabla29[Tasa de lesiones por accidente laboral registrables (2)])</f>
        <v>3.0700000000000003</v>
      </c>
      <c r="H49" s="352"/>
      <c r="I49" s="353">
        <f>SUBTOTAL(109,Tabla29['# de horas trabajadas])</f>
        <v>6315021</v>
      </c>
    </row>
    <row r="50" spans="1:12" ht="50.25" customHeight="1" thickTop="1">
      <c r="A50" s="370" t="s">
        <v>1224</v>
      </c>
      <c r="B50" s="370"/>
      <c r="C50" s="370"/>
      <c r="D50" s="370"/>
      <c r="E50" s="370"/>
      <c r="F50" s="370"/>
      <c r="G50" s="370"/>
      <c r="H50" s="370"/>
      <c r="I50" s="370"/>
    </row>
    <row r="51" spans="1:12">
      <c r="A51" s="370"/>
      <c r="B51" s="370"/>
      <c r="C51" s="370"/>
      <c r="D51" s="370"/>
      <c r="E51" s="370"/>
      <c r="F51" s="370"/>
      <c r="G51" s="370"/>
      <c r="H51" s="370"/>
      <c r="I51" s="370"/>
    </row>
    <row r="53" spans="1:12" s="71" customFormat="1" ht="30" customHeight="1" thickBot="1">
      <c r="A53" s="364" t="s">
        <v>831</v>
      </c>
      <c r="B53" s="365"/>
      <c r="C53" s="365"/>
      <c r="D53" s="365"/>
      <c r="E53" s="365"/>
      <c r="F53" s="365"/>
      <c r="G53" s="365"/>
      <c r="H53" s="365"/>
      <c r="I53" s="365"/>
      <c r="J53" s="365"/>
      <c r="K53" s="365"/>
      <c r="L53" s="365"/>
    </row>
    <row r="54" spans="1:12">
      <c r="A54" s="15" t="s">
        <v>121</v>
      </c>
    </row>
    <row r="55" spans="1:12">
      <c r="A55" s="15"/>
    </row>
    <row r="56" spans="1:12">
      <c r="A56" s="70" t="s">
        <v>681</v>
      </c>
      <c r="B56" s="140" t="s">
        <v>832</v>
      </c>
      <c r="C56" s="140" t="s">
        <v>833</v>
      </c>
    </row>
    <row r="57" spans="1:12" ht="24">
      <c r="A57" s="28" t="s">
        <v>189</v>
      </c>
      <c r="B57" s="75">
        <v>16</v>
      </c>
      <c r="C57" s="28" t="s">
        <v>834</v>
      </c>
    </row>
    <row r="58" spans="1:12" ht="24">
      <c r="A58" s="28" t="s">
        <v>386</v>
      </c>
      <c r="B58" s="75">
        <v>10</v>
      </c>
      <c r="C58" s="28" t="s">
        <v>834</v>
      </c>
    </row>
    <row r="59" spans="1:12">
      <c r="A59" s="28" t="s">
        <v>825</v>
      </c>
      <c r="B59" s="75">
        <v>2</v>
      </c>
      <c r="C59" s="28" t="s">
        <v>835</v>
      </c>
    </row>
    <row r="60" spans="1:12">
      <c r="A60" s="28" t="s">
        <v>54</v>
      </c>
      <c r="B60" s="75">
        <v>0</v>
      </c>
      <c r="C60" s="61" t="s">
        <v>836</v>
      </c>
    </row>
    <row r="61" spans="1:12">
      <c r="A61" s="28" t="s">
        <v>56</v>
      </c>
      <c r="B61" s="75">
        <v>0</v>
      </c>
      <c r="C61" s="61"/>
    </row>
    <row r="64" spans="1:12" s="71" customFormat="1" ht="30" customHeight="1" thickBot="1">
      <c r="A64" s="364" t="s">
        <v>837</v>
      </c>
      <c r="B64" s="365"/>
      <c r="C64" s="365"/>
      <c r="D64" s="365"/>
      <c r="E64" s="365"/>
      <c r="F64" s="365"/>
      <c r="G64" s="365"/>
      <c r="H64" s="365"/>
      <c r="I64" s="365"/>
      <c r="J64" s="365"/>
      <c r="K64" s="365"/>
      <c r="L64" s="365"/>
    </row>
    <row r="65" spans="1:12">
      <c r="A65" s="15" t="s">
        <v>121</v>
      </c>
    </row>
    <row r="66" spans="1:12">
      <c r="A66" s="15"/>
    </row>
    <row r="67" spans="1:12">
      <c r="A67" s="70" t="s">
        <v>681</v>
      </c>
      <c r="B67" s="140" t="s">
        <v>838</v>
      </c>
      <c r="C67" s="140" t="s">
        <v>839</v>
      </c>
    </row>
    <row r="68" spans="1:12" ht="36">
      <c r="A68" s="28" t="s">
        <v>189</v>
      </c>
      <c r="B68" s="75">
        <v>28</v>
      </c>
      <c r="C68" s="28" t="s">
        <v>840</v>
      </c>
    </row>
    <row r="69" spans="1:12" ht="36">
      <c r="A69" s="28" t="s">
        <v>386</v>
      </c>
      <c r="B69" s="75">
        <v>41</v>
      </c>
      <c r="C69" s="28" t="s">
        <v>841</v>
      </c>
    </row>
    <row r="70" spans="1:12" ht="36">
      <c r="A70" s="28" t="s">
        <v>825</v>
      </c>
      <c r="B70" s="75">
        <v>14</v>
      </c>
      <c r="C70" s="28" t="s">
        <v>842</v>
      </c>
    </row>
    <row r="71" spans="1:12">
      <c r="A71" s="28" t="s">
        <v>54</v>
      </c>
      <c r="B71" s="75">
        <v>0</v>
      </c>
      <c r="C71" s="61"/>
    </row>
    <row r="72" spans="1:12">
      <c r="A72" s="28" t="s">
        <v>56</v>
      </c>
      <c r="B72" s="75">
        <v>0</v>
      </c>
      <c r="C72" s="61"/>
    </row>
    <row r="73" spans="1:12" ht="15.75" thickBot="1">
      <c r="A73" s="155" t="s">
        <v>77</v>
      </c>
      <c r="B73" s="78">
        <f>SUBTOTAL(109,Tabla31['# de incidentes laborales de gran potencial identificados ])</f>
        <v>83</v>
      </c>
      <c r="C73" s="155"/>
    </row>
    <row r="74" spans="1:12" ht="15.75" thickTop="1"/>
    <row r="76" spans="1:12" s="71" customFormat="1" ht="30" customHeight="1" thickBot="1">
      <c r="A76" s="364" t="s">
        <v>843</v>
      </c>
      <c r="B76" s="365"/>
      <c r="C76" s="365"/>
      <c r="D76" s="365"/>
      <c r="E76" s="365"/>
      <c r="F76" s="365"/>
      <c r="G76" s="365"/>
      <c r="H76" s="365"/>
      <c r="I76" s="365"/>
      <c r="J76" s="365"/>
      <c r="K76" s="365"/>
      <c r="L76" s="365"/>
    </row>
    <row r="77" spans="1:12">
      <c r="A77" s="15" t="s">
        <v>123</v>
      </c>
    </row>
    <row r="79" spans="1:12">
      <c r="A79" s="140" t="s">
        <v>586</v>
      </c>
      <c r="B79" s="140" t="s">
        <v>846</v>
      </c>
      <c r="C79" s="140" t="s">
        <v>844</v>
      </c>
      <c r="D79" s="140" t="s">
        <v>845</v>
      </c>
    </row>
    <row r="80" spans="1:12">
      <c r="A80" s="28" t="s">
        <v>189</v>
      </c>
      <c r="B80" s="75">
        <v>0</v>
      </c>
      <c r="C80" s="75" t="s">
        <v>124</v>
      </c>
      <c r="D80" s="75" t="s">
        <v>124</v>
      </c>
    </row>
    <row r="81" spans="1:12">
      <c r="A81" s="28" t="s">
        <v>386</v>
      </c>
      <c r="B81" s="75">
        <v>0</v>
      </c>
      <c r="C81" s="75" t="s">
        <v>124</v>
      </c>
      <c r="D81" s="75" t="s">
        <v>124</v>
      </c>
    </row>
    <row r="82" spans="1:12">
      <c r="A82" s="28" t="s">
        <v>387</v>
      </c>
      <c r="B82" s="75">
        <v>0</v>
      </c>
      <c r="C82" s="75" t="s">
        <v>124</v>
      </c>
      <c r="D82" s="75" t="s">
        <v>124</v>
      </c>
    </row>
    <row r="83" spans="1:12">
      <c r="A83" s="28" t="s">
        <v>56</v>
      </c>
      <c r="B83" s="75">
        <v>0</v>
      </c>
      <c r="C83" s="75" t="s">
        <v>124</v>
      </c>
      <c r="D83" s="75" t="s">
        <v>124</v>
      </c>
    </row>
    <row r="84" spans="1:12" ht="15.75" thickBot="1">
      <c r="A84" s="155" t="s">
        <v>77</v>
      </c>
      <c r="B84" s="78">
        <v>0</v>
      </c>
      <c r="C84" s="78" t="s">
        <v>124</v>
      </c>
      <c r="D84" s="78" t="s">
        <v>124</v>
      </c>
    </row>
    <row r="85" spans="1:12" ht="30.75" customHeight="1" thickTop="1">
      <c r="A85" s="370" t="s">
        <v>849</v>
      </c>
      <c r="B85" s="370"/>
      <c r="C85" s="370"/>
      <c r="D85" s="370"/>
      <c r="E85" s="370"/>
      <c r="F85" s="370"/>
      <c r="G85" s="370"/>
      <c r="H85" s="370"/>
      <c r="I85" s="370"/>
    </row>
    <row r="88" spans="1:12" s="71" customFormat="1" ht="30" customHeight="1" thickBot="1">
      <c r="A88" s="364" t="s">
        <v>847</v>
      </c>
      <c r="B88" s="365"/>
      <c r="C88" s="365"/>
      <c r="D88" s="365"/>
      <c r="E88" s="365"/>
      <c r="F88" s="365"/>
      <c r="G88" s="365"/>
      <c r="H88" s="365"/>
      <c r="I88" s="365"/>
      <c r="J88" s="365"/>
      <c r="K88" s="365"/>
      <c r="L88" s="365"/>
    </row>
    <row r="89" spans="1:12">
      <c r="A89" s="15" t="s">
        <v>123</v>
      </c>
    </row>
    <row r="91" spans="1:12">
      <c r="A91" s="140" t="s">
        <v>681</v>
      </c>
      <c r="B91" s="140" t="s">
        <v>846</v>
      </c>
      <c r="C91" s="140" t="s">
        <v>844</v>
      </c>
      <c r="D91" s="140" t="s">
        <v>848</v>
      </c>
    </row>
    <row r="92" spans="1:12">
      <c r="A92" s="28" t="s">
        <v>189</v>
      </c>
      <c r="B92" s="75">
        <v>0</v>
      </c>
      <c r="C92" s="75" t="s">
        <v>124</v>
      </c>
      <c r="D92" s="75" t="s">
        <v>124</v>
      </c>
    </row>
    <row r="93" spans="1:12">
      <c r="A93" s="28" t="s">
        <v>386</v>
      </c>
      <c r="B93" s="75">
        <v>0</v>
      </c>
      <c r="C93" s="75" t="s">
        <v>124</v>
      </c>
      <c r="D93" s="75" t="s">
        <v>124</v>
      </c>
    </row>
    <row r="94" spans="1:12">
      <c r="A94" s="28" t="s">
        <v>54</v>
      </c>
      <c r="B94" s="75">
        <v>0</v>
      </c>
      <c r="C94" s="75" t="s">
        <v>124</v>
      </c>
      <c r="D94" s="75" t="s">
        <v>124</v>
      </c>
    </row>
    <row r="95" spans="1:12">
      <c r="A95" s="28" t="s">
        <v>56</v>
      </c>
      <c r="B95" s="75">
        <v>0</v>
      </c>
      <c r="C95" s="75" t="s">
        <v>124</v>
      </c>
      <c r="D95" s="75" t="s">
        <v>124</v>
      </c>
    </row>
    <row r="96" spans="1:12" ht="15.75" thickBot="1">
      <c r="A96" s="155" t="s">
        <v>77</v>
      </c>
      <c r="B96" s="78">
        <v>0</v>
      </c>
      <c r="C96" s="78" t="s">
        <v>124</v>
      </c>
      <c r="D96" s="78" t="s">
        <v>124</v>
      </c>
    </row>
    <row r="97" spans="1:12" ht="30.75" customHeight="1" thickTop="1">
      <c r="A97" s="370" t="s">
        <v>850</v>
      </c>
      <c r="B97" s="370"/>
      <c r="C97" s="370"/>
      <c r="D97" s="370"/>
      <c r="E97" s="370"/>
      <c r="F97" s="370"/>
      <c r="G97" s="370"/>
      <c r="H97" s="370"/>
      <c r="I97" s="370"/>
    </row>
    <row r="100" spans="1:12" s="71" customFormat="1" ht="30" customHeight="1" thickBot="1">
      <c r="A100" s="364" t="s">
        <v>852</v>
      </c>
      <c r="B100" s="365"/>
      <c r="C100" s="365"/>
      <c r="D100" s="365"/>
      <c r="E100" s="365"/>
      <c r="F100" s="365"/>
      <c r="G100" s="365"/>
      <c r="H100" s="365"/>
      <c r="I100" s="365"/>
      <c r="J100" s="365"/>
      <c r="K100" s="365"/>
      <c r="L100" s="365"/>
    </row>
    <row r="101" spans="1:12">
      <c r="A101" s="15" t="s">
        <v>851</v>
      </c>
    </row>
    <row r="103" spans="1:12" s="159" customFormat="1">
      <c r="A103" s="164"/>
      <c r="B103" s="165" t="s">
        <v>125</v>
      </c>
      <c r="C103" s="166" t="s">
        <v>855</v>
      </c>
      <c r="D103" s="158"/>
    </row>
    <row r="104" spans="1:12">
      <c r="A104" s="17" t="s">
        <v>853</v>
      </c>
      <c r="B104" s="160">
        <v>830</v>
      </c>
      <c r="C104" s="161">
        <v>4</v>
      </c>
      <c r="D104" s="162"/>
    </row>
    <row r="105" spans="1:12" ht="36" customHeight="1">
      <c r="A105" s="370" t="s">
        <v>854</v>
      </c>
      <c r="B105" s="370"/>
      <c r="C105" s="370"/>
      <c r="D105" s="370"/>
    </row>
    <row r="106" spans="1:12">
      <c r="A106" s="408"/>
      <c r="B106" s="408"/>
      <c r="C106" s="408"/>
      <c r="D106" s="408"/>
    </row>
  </sheetData>
  <mergeCells count="17">
    <mergeCell ref="A76:L76"/>
    <mergeCell ref="A40:L40"/>
    <mergeCell ref="A53:L53"/>
    <mergeCell ref="A64:L64"/>
    <mergeCell ref="A88:L88"/>
    <mergeCell ref="A1:L1"/>
    <mergeCell ref="A10:L10"/>
    <mergeCell ref="A26:L26"/>
    <mergeCell ref="A50:I50"/>
    <mergeCell ref="A51:I51"/>
    <mergeCell ref="A8:G8"/>
    <mergeCell ref="A23:G23"/>
    <mergeCell ref="A85:I85"/>
    <mergeCell ref="A97:I97"/>
    <mergeCell ref="A100:L100"/>
    <mergeCell ref="A105:D105"/>
    <mergeCell ref="A106:D106"/>
  </mergeCells>
  <pageMargins left="0.7" right="0.7" top="0.75" bottom="0.75" header="0.3" footer="0.3"/>
  <drawing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72</vt:i4>
      </vt:variant>
    </vt:vector>
  </HeadingPairs>
  <TitlesOfParts>
    <vt:vector size="88" baseType="lpstr">
      <vt:lpstr>Wiki</vt:lpstr>
      <vt:lpstr>Visión general</vt:lpstr>
      <vt:lpstr>MAPE</vt:lpstr>
      <vt:lpstr>Biodiversidad</vt:lpstr>
      <vt:lpstr>Cambio climático</vt:lpstr>
      <vt:lpstr>Comunidades y PI</vt:lpstr>
      <vt:lpstr>Gob. Corp y Ética Emp.</vt:lpstr>
      <vt:lpstr>Gestión ambiental</vt:lpstr>
      <vt:lpstr>Salud y Seguridad</vt:lpstr>
      <vt:lpstr>Derechos laborales</vt:lpstr>
      <vt:lpstr>Reasentamiento</vt:lpstr>
      <vt:lpstr>Adquisiciones resp.</vt:lpstr>
      <vt:lpstr>Prácticas de seguridad</vt:lpstr>
      <vt:lpstr>Contribuciones socio-econ.</vt:lpstr>
      <vt:lpstr>Residuos y materiales</vt:lpstr>
      <vt:lpstr>Agua y efluentes</vt:lpstr>
      <vt:lpstr>_1._2021_Sustainability_scorecard</vt:lpstr>
      <vt:lpstr>_10._Communications_and_training_on_anti_corruption_policies_and_procedures</vt:lpstr>
      <vt:lpstr>_11._Confirmed_incidents_of_corruption_and_actions_taken</vt:lpstr>
      <vt:lpstr>_12._New_suppliers_that_were_screened_using_environmental___social_criteria</vt:lpstr>
      <vt:lpstr>_13._Security_personnel_trained_in_human_rights_policies_or_procedures</vt:lpstr>
      <vt:lpstr>_14._Description_of_environmental_management_policies_and_practices__EMPs__for_active_sites</vt:lpstr>
      <vt:lpstr>_15._Potential_risks_to_water_sources</vt:lpstr>
      <vt:lpstr>_16._Water_withdrawal_by_source__ML</vt:lpstr>
      <vt:lpstr>_17._Water_discharge__ML</vt:lpstr>
      <vt:lpstr>_18._Water_consumption__ML</vt:lpstr>
      <vt:lpstr>_19._Cyanide_Intensity</vt:lpstr>
      <vt:lpstr>_2._Entities_included_in_the_organization_s_sustainability_reporting</vt:lpstr>
      <vt:lpstr>_20._Total_amounts_of_overburden__rock__tailings__and_sludges_and_their_associated_risks</vt:lpstr>
      <vt:lpstr>_21._Waste_generated</vt:lpstr>
      <vt:lpstr>_22._Waste_diverted_from_disposal</vt:lpstr>
      <vt:lpstr>_23._Waste_directed_to_disposal</vt:lpstr>
      <vt:lpstr>_24._Total_weight_of_non_mineral_waste_generated__in_metric_tons__T</vt:lpstr>
      <vt:lpstr>_25._Tailings_storage_facility_inventory_table</vt:lpstr>
      <vt:lpstr>_26._Number_of_tailings_impoundments__broken_down_by_MSHA_hazard_potential</vt:lpstr>
      <vt:lpstr>_27._Significant_impacts_of_activities__products_and_services_on_biodiversity</vt:lpstr>
      <vt:lpstr>_28._Habitats_protected_or_restored</vt:lpstr>
      <vt:lpstr>_29._Amount_of_land_owned_or_leased__and_managed_for_production_activities_or_extractive_use__disturbed_or_rehabilitated</vt:lpstr>
      <vt:lpstr>_3._2021_Data</vt:lpstr>
      <vt:lpstr>_30._Number_and_percentage_of_total_sites_identified_as_requiring_biodiversity_management_plans_according_to_stated_criteria__and_number__and_percentage__of_those_sites_with_plans_in_place</vt:lpstr>
      <vt:lpstr>_31._Number_and_percentage_of_operations_with_closure_plans</vt:lpstr>
      <vt:lpstr>_32._Energy_consumption_within_the_organization</vt:lpstr>
      <vt:lpstr>_33._Energy_intensity</vt:lpstr>
      <vt:lpstr>_34._GHG_emissions_intensity__Scopes_1_2____metric_tons_Coe_per_tonne_of_ore_processed</vt:lpstr>
      <vt:lpstr>_35._Employees</vt:lpstr>
      <vt:lpstr>_36._Workers_who_are_not_employees__Contractors_workforce</vt:lpstr>
      <vt:lpstr>_37._New_employee_hires_and_employee_turnover</vt:lpstr>
      <vt:lpstr>_38._Average_hours_of_training_per_year_per_employee_by_gender</vt:lpstr>
      <vt:lpstr>_39._Percentage_of_employees_per_employee_category_in_diversity_categories</vt:lpstr>
      <vt:lpstr>_4._Memberships_and_associations</vt:lpstr>
      <vt:lpstr>_40._Ratio_of_basic_salary_and_remuneration_of_women_to_men</vt:lpstr>
      <vt:lpstr>_41._Collective_bargaining_agreements</vt:lpstr>
      <vt:lpstr>_42._Worker_training_on_occupational_health_and_safety</vt:lpstr>
      <vt:lpstr>_43._Workers_covered_by_an_occupational_health_and_safety_management_system</vt:lpstr>
      <vt:lpstr>_44._Employee_data_on_work_related_injuries</vt:lpstr>
      <vt:lpstr>_45._Contractor_data_on_work_related_injuries</vt:lpstr>
      <vt:lpstr>_46._Recordable_work_related_injury_by_type_of_incident</vt:lpstr>
      <vt:lpstr>_47._Other_relevant_data</vt:lpstr>
      <vt:lpstr>_48._Employee_data_on_work_related_ill_health</vt:lpstr>
      <vt:lpstr>_49._Contractor_data_on_work_related_ill_health</vt:lpstr>
      <vt:lpstr>_5._Approach_to_stakeholder_engagement</vt:lpstr>
      <vt:lpstr>_50._Death_rate_due_to_road_traffic_injuries</vt:lpstr>
      <vt:lpstr>_51._Public_consultations_held</vt:lpstr>
      <vt:lpstr>_52._Operations_with_local_community_engagement__impact_assessments__and_development_programs</vt:lpstr>
      <vt:lpstr>_53._Operations_with_significant_actual_and_potential_negative_impacts_on_local_communities</vt:lpstr>
      <vt:lpstr>_54._Total_number_of_operations_taking_place_in_or_adjacent_to_Indigenous_Peoples__territories__and_number_and_percentage_of_operations_or_sites_where_there_are_formal_agreements_with_Indigenous_Peoples__communities</vt:lpstr>
      <vt:lpstr>_55._Number_and_description_of_significant_disputes_1__relating_to_land_use__customary_rights_of_local_communities_and_Indigenous_Peoples</vt:lpstr>
      <vt:lpstr>_56._Extent_to_which_grievance_mechanisms_were_used_to_resolve_disputes_relating_to_land_use__customary_rights_of_local_communities_and_Indigenous_Peoples__and_the_outcomes</vt:lpstr>
      <vt:lpstr>_57._Proportion_of_population_who_have_experienced_a_dispute_in_the_past_two_years_and_who_accessed_a_formal_or_informal_dispute_resolution_mechanism__by_type_of_mechanism</vt:lpstr>
      <vt:lpstr>_58._Sites_where_resettlement_took_place__the_number_of_household_resettled_in_each__and_how_their_livelihoods_were_affected_in_the_process</vt:lpstr>
      <vt:lpstr>_59._Proportion_of_population_living_in_households_with_access_to_basic_services</vt:lpstr>
      <vt:lpstr>_6._List_of_material_topics</vt:lpstr>
      <vt:lpstr>_60._Proportion_of_total_adult_population_with_secure_tenure_rights_to_land__with_legally_recognized_documentation_and_who_perceive_their_rights_to_land_as_secure__by_sex_and_by_type_of_tenure</vt:lpstr>
      <vt:lpstr>_61._Proportion_of_urban_population_living_in_slums__informal_settlements_or_inadequate_housing</vt:lpstr>
      <vt:lpstr>_62._Proportion_of_urban_population_using_safely_managed_drinking_water_services</vt:lpstr>
      <vt:lpstr>_63._Proportion_of_population_using_safely_managed_sanitation_services</vt:lpstr>
      <vt:lpstr>_64._Proportion_of_population_who_believe_decision_making_is_inclusive_and_responsive</vt:lpstr>
      <vt:lpstr>_65._Number__and_percentage__of_company_operating_sites_where_ASM_takes_place_on__or_adjacent_to__the_site__the_associated_risks_and_the_actions_taken_to_manage_and_mitigate_these_risks</vt:lpstr>
      <vt:lpstr>_66._Proportion_of_bodies_of_water_with_good_ambient_water_quality</vt:lpstr>
      <vt:lpstr>_67._Direct_economic_value_generated_and_distributed___Million_USD</vt:lpstr>
      <vt:lpstr>_68._Ratios_of_standard_entry_level_wage_by_gender_compared_to_local_minimum_wage</vt:lpstr>
      <vt:lpstr>_69._Infrastructure_investments_and_services_supported</vt:lpstr>
      <vt:lpstr>_7._Governance_structure_and_composition__diversity_of_governance_bodies</vt:lpstr>
      <vt:lpstr>_71._Proportion_of_spending_on_local_suppliers</vt:lpstr>
      <vt:lpstr>_8._Mechanisms_for_seeking_advise_and_raising_concerns</vt:lpstr>
      <vt:lpstr>_9._Operations_assessed_for_risk_related_to_corruption</vt:lpstr>
      <vt:lpstr>Table_70._Significant_indirect_economic_impacts</vt:lpstr>
      <vt:lpstr>Table_71._Proportion_of_spending_on_local_suppliers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Habed</dc:creator>
  <cp:keywords/>
  <dc:description/>
  <cp:lastModifiedBy>Luz Habed</cp:lastModifiedBy>
  <cp:revision/>
  <dcterms:created xsi:type="dcterms:W3CDTF">2022-04-04T15:16:57Z</dcterms:created>
  <dcterms:modified xsi:type="dcterms:W3CDTF">2022-10-12T14:32:40Z</dcterms:modified>
  <cp:category/>
  <cp:contentStatus/>
</cp:coreProperties>
</file>